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t005\Desktop\SDBIP 2018-19\"/>
    </mc:Choice>
  </mc:AlternateContent>
  <bookViews>
    <workbookView xWindow="0" yWindow="0" windowWidth="20490" windowHeight="7155" tabRatio="689" firstSheet="2" activeTab="7"/>
  </bookViews>
  <sheets>
    <sheet name="SETUP" sheetId="18" state="hidden" r:id="rId1"/>
    <sheet name="1. Lists" sheetId="2" state="hidden" r:id="rId2"/>
    <sheet name="2. Top Layer" sheetId="4" r:id="rId3"/>
    <sheet name="Office of the MM" sheetId="16" r:id="rId4"/>
    <sheet name="Admin &amp; Community" sheetId="19" r:id="rId5"/>
    <sheet name="Finance" sheetId="20" r:id="rId6"/>
    <sheet name="Technical" sheetId="21" r:id="rId7"/>
    <sheet name="3. Capital" sheetId="5" r:id="rId8"/>
    <sheet name="Monthly Cashflow" sheetId="11" r:id="rId9"/>
    <sheet name="RevBySource" sheetId="9" r:id="rId10"/>
  </sheets>
  <externalReferences>
    <externalReference r:id="rId11"/>
    <externalReference r:id="rId12"/>
  </externalReferences>
  <definedNames>
    <definedName name="_xlnm._FilterDatabase" localSheetId="4" hidden="1">'Admin &amp; Community'!$A$2:$CK$48</definedName>
    <definedName name="_xlnm._FilterDatabase" localSheetId="5" hidden="1">Finance!$A$2:$CK$60</definedName>
    <definedName name="_xlnm._FilterDatabase" localSheetId="3" hidden="1">'Office of the MM'!$A$2:$CH$58</definedName>
    <definedName name="_xlnm._FilterDatabase" localSheetId="6" hidden="1">Technical!$A$2:$CH$29</definedName>
    <definedName name="calctype">'1. Lists'!$BQ$3:$BQ$10</definedName>
    <definedName name="cap_actualstart">SETUP!$N$33</definedName>
    <definedName name="cap_area">SETUP!$N$35</definedName>
    <definedName name="cap_cpref">SETUP!$N$25</definedName>
    <definedName name="cap_description">SETUP!$N$29</definedName>
    <definedName name="cap_endplan">SETUP!$N$32</definedName>
    <definedName name="cap_fundsrc">SETUP!$N$30</definedName>
    <definedName name="cap_gfsid">SETUP!$N$24</definedName>
    <definedName name="cap_idp">SETUP!$N$26</definedName>
    <definedName name="cap_startplan">SETUP!$N$31</definedName>
    <definedName name="cap_subid">SETUP!$N$23</definedName>
    <definedName name="cap_value">SETUP!$N$28</definedName>
    <definedName name="cap_vote">SETUP!$N$27</definedName>
    <definedName name="cap_ward">SETUP!$N$34</definedName>
    <definedName name="capitalprojects">SETUP!$K$21</definedName>
    <definedName name="concept">'1. Lists'!$AV$3:$AV$7</definedName>
    <definedName name="deptobj">'1. Lists'!$AN$4:$AN$52</definedName>
    <definedName name="Dir">'1. Lists'!$A$3:$A$26</definedName>
    <definedName name="driver">'1. Lists'!$BO$3:$BO$52</definedName>
    <definedName name="end_year">SETUP!$B$2</definedName>
    <definedName name="function">'1. Lists'!$M$3:$M$21</definedName>
    <definedName name="fundsrc">'1. Lists'!$BY$3:$BY$52</definedName>
    <definedName name="gfs">'1. Lists'!$T$3:$T$152</definedName>
    <definedName name="kpi">SETUP!$A$21</definedName>
    <definedName name="kpi_annual">SETUP!$D$55</definedName>
    <definedName name="kpi_area">SETUP!$D$42</definedName>
    <definedName name="kpi_baseline">SETUP!$D$44</definedName>
    <definedName name="kpi_calctype">SETUP!$D$53</definedName>
    <definedName name="kpi_capitalid">SETUP!$D$33</definedName>
    <definedName name="kpi_conceptid">SETUP!$D$36</definedName>
    <definedName name="kpi_gfsid">SETUP!$D$25</definedName>
    <definedName name="kpi_idpid">SETUP!$D$28</definedName>
    <definedName name="kpi_idpref">SETUP!$D$26</definedName>
    <definedName name="kpi_mtas">SETUP!$D$48</definedName>
    <definedName name="kpi_munkpaid">SETUP!$D$30</definedName>
    <definedName name="kpi_natkpaid">SETUP!$D$29</definedName>
    <definedName name="kpi_natoutcomeid">SETUP!$D$27</definedName>
    <definedName name="kpi_ndpid">SETUP!$D$32</definedName>
    <definedName name="kpi_new1">SETUP!$D$49</definedName>
    <definedName name="kpi_new2">SETUP!$D$50</definedName>
    <definedName name="kpi_new3">SETUP!$D$51</definedName>
    <definedName name="kpi_ownerid">SETUP!$D$43</definedName>
    <definedName name="kpi_pdoid">SETUP!$D$31</definedName>
    <definedName name="kpi_perfstd">SETUP!$D$46</definedName>
    <definedName name="kpi_poe">SETUP!$D$47</definedName>
    <definedName name="kpi_pyp">SETUP!$D$45</definedName>
    <definedName name="kpi_repcate">SETUP!$D$52</definedName>
    <definedName name="kpi_revised">SETUP!$D$56</definedName>
    <definedName name="kpi_risk">SETUP!$D$39</definedName>
    <definedName name="kpi_riskratingid">SETUP!$D$40</definedName>
    <definedName name="kpi_riskref">SETUP!$D$38</definedName>
    <definedName name="kpi_subid">SETUP!$D$23</definedName>
    <definedName name="kpi_targettype">SETUP!$D$54</definedName>
    <definedName name="kpi_topid">SETUP!$D$24</definedName>
    <definedName name="kpi_typeid">SETUP!$D$37</definedName>
    <definedName name="kpi_unit">SETUP!$D$35</definedName>
    <definedName name="kpi_value">SETUP!$D$34</definedName>
    <definedName name="kpi_wards">SETUP!$D$41</definedName>
    <definedName name="ktype">'1. Lists'!$AZ$3:$AZ$7</definedName>
    <definedName name="munkpa">'1. Lists'!$W$3:$W$52</definedName>
    <definedName name="natkpa">'1. Lists'!$AA$3:$AA$7</definedName>
    <definedName name="natout">'1. Lists'!$AK$3:$AK$52</definedName>
    <definedName name="NDP_Objective">'1. Lists'!$AE$3:$AE$52</definedName>
    <definedName name="PDO">'1. Lists'!$AH$3:$AH$100</definedName>
    <definedName name="_xlnm.Print_Area" localSheetId="7">'3. Capital'!$A$1:$AK$25</definedName>
    <definedName name="_xlnm.Print_Titles" localSheetId="2">'2. Top Layer'!$1:$1</definedName>
    <definedName name="_xlnm.Print_Titles" localSheetId="4">'Admin &amp; Community'!$2:$3</definedName>
    <definedName name="_xlnm.Print_Titles" localSheetId="5">Finance!$2:$3</definedName>
    <definedName name="_xlnm.Print_Titles" localSheetId="8">'Monthly Cashflow'!$A:$H,'Monthly Cashflow'!$1:$2</definedName>
    <definedName name="_xlnm.Print_Titles" localSheetId="3">'Office of the MM'!$2:$3</definedName>
    <definedName name="_xlnm.Print_Titles" localSheetId="6">Technical!$2:$3</definedName>
    <definedName name="repcate">'1. Lists'!$CB$3:$CB$52</definedName>
    <definedName name="riskrate">'1. Lists'!$BD$3:$BD$22</definedName>
    <definedName name="start_year">SETUP!$B$1</definedName>
    <definedName name="SubDir">'1. Lists'!$E$3:$E$52</definedName>
    <definedName name="targettype">'1. Lists'!$BU$3:$BU$5</definedName>
    <definedName name="tlobj">'1. Lists'!$AS$3:$AS$52</definedName>
    <definedName name="top_annual">SETUP!$I$50</definedName>
    <definedName name="top_area">SETUP!$I$38</definedName>
    <definedName name="top_baseline">SETUP!$I$40</definedName>
    <definedName name="top_calctype">SETUP!$I$48</definedName>
    <definedName name="top_dirid">SETUP!$I$23</definedName>
    <definedName name="top_gfsid">SETUP!$I$26</definedName>
    <definedName name="top_idpid">SETUP!$I$31</definedName>
    <definedName name="top_idpref">SETUP!$I$25</definedName>
    <definedName name="top_mtas">SETUP!$I$43</definedName>
    <definedName name="top_munkpa">SETUP!$I$32</definedName>
    <definedName name="top_natkpaid">SETUP!$I$28</definedName>
    <definedName name="top_natoutcomeid">SETUP!$I$27</definedName>
    <definedName name="top_ndpid">SETUP!$I$30</definedName>
    <definedName name="top_new1">SETUP!$I$44</definedName>
    <definedName name="top_new2">SETUP!$I$45</definedName>
    <definedName name="top_new3">SETUP!$I$46</definedName>
    <definedName name="top_ownerid">SETUP!$I$39</definedName>
    <definedName name="top_pdoid">SETUP!$I$29</definedName>
    <definedName name="top_poe">SETUP!$I$41</definedName>
    <definedName name="top_psoid">SETUP!$I$36</definedName>
    <definedName name="top_pyp">SETUP!$I$42</definedName>
    <definedName name="top_repcate">SETUP!$I$47</definedName>
    <definedName name="top_repkpi">SETUP!$I$24</definedName>
    <definedName name="top_revised">SETUP!$I$51</definedName>
    <definedName name="top_risk">SETUP!$I$35</definedName>
    <definedName name="top_targettype">SETUP!$I$49</definedName>
    <definedName name="top_unit">SETUP!$I$34</definedName>
    <definedName name="top_value">SETUP!$I$33</definedName>
    <definedName name="top_ward">SETUP!$I$37</definedName>
    <definedName name="toplayer">SETUP!$F$21</definedName>
    <definedName name="tp_1">SETUP!$B$5</definedName>
    <definedName name="tp_10">SETUP!$B$14</definedName>
    <definedName name="tp_11">SETUP!$B$15</definedName>
    <definedName name="tp_12">SETUP!$B$16</definedName>
    <definedName name="tp_2">SETUP!$B$6</definedName>
    <definedName name="tp_3">SETUP!$B$7</definedName>
    <definedName name="tp_4">SETUP!$B$8</definedName>
    <definedName name="tp_5">SETUP!$B$9</definedName>
    <definedName name="tp_6">SETUP!$B$10</definedName>
    <definedName name="tp_7">SETUP!$B$11</definedName>
    <definedName name="tp_8">SETUP!$B$12</definedName>
    <definedName name="tp_9">SETUP!$B$13</definedName>
  </definedNames>
  <calcPr calcId="179017"/>
  <customWorkbookViews>
    <customWorkbookView name="Adele - Personal View" guid="{9B5DD690-7A96-4FFD-9A82-5184EBE7D9A3}" mergeInterval="0" personalView="1" maximized="1" xWindow="1" yWindow="1" windowWidth="1362" windowHeight="492" activeSheetId="4" showComments="commIndAndComment"/>
  </customWorkbookViews>
</workbook>
</file>

<file path=xl/calcChain.xml><?xml version="1.0" encoding="utf-8"?>
<calcChain xmlns="http://schemas.openxmlformats.org/spreadsheetml/2006/main">
  <c r="AK44" i="5" l="1"/>
  <c r="AJ44" i="5"/>
  <c r="AI44" i="5"/>
  <c r="AH44" i="5"/>
  <c r="AG44" i="5"/>
  <c r="AF44" i="5"/>
  <c r="AE44" i="5"/>
  <c r="AD44" i="5"/>
  <c r="AC44" i="5"/>
  <c r="AB44" i="5"/>
  <c r="AA44" i="5"/>
  <c r="Z44" i="5"/>
  <c r="Y44" i="5"/>
  <c r="X44" i="5"/>
  <c r="W44" i="5"/>
  <c r="V44" i="5"/>
  <c r="U44" i="5"/>
  <c r="T44" i="5"/>
  <c r="S44" i="5"/>
  <c r="A5" i="5" l="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 i="5"/>
  <c r="C43" i="5"/>
  <c r="B43" i="5"/>
  <c r="C42" i="5"/>
  <c r="B42" i="5"/>
  <c r="C41" i="5"/>
  <c r="B41" i="5"/>
  <c r="C40" i="5"/>
  <c r="B40" i="5"/>
  <c r="C39" i="5"/>
  <c r="B39" i="5"/>
  <c r="C38" i="5"/>
  <c r="B38" i="5"/>
  <c r="C37" i="5"/>
  <c r="B37" i="5"/>
  <c r="C36" i="5"/>
  <c r="B36" i="5"/>
  <c r="C35" i="5"/>
  <c r="B35" i="5"/>
  <c r="C34" i="5"/>
  <c r="B34" i="5"/>
  <c r="C33" i="5"/>
  <c r="B33" i="5"/>
  <c r="C32" i="5"/>
  <c r="B32" i="5"/>
  <c r="C31" i="5"/>
  <c r="B31" i="5"/>
  <c r="C30" i="5"/>
  <c r="B30" i="5"/>
  <c r="C29" i="5"/>
  <c r="B29" i="5"/>
  <c r="C28" i="5"/>
  <c r="B28" i="5"/>
  <c r="C27" i="5"/>
  <c r="B27" i="5"/>
  <c r="C26" i="5"/>
  <c r="B26" i="5"/>
  <c r="C25" i="5"/>
  <c r="B25" i="5"/>
  <c r="C24" i="5"/>
  <c r="B24" i="5"/>
  <c r="C23" i="5"/>
  <c r="B23" i="5"/>
  <c r="C22" i="5"/>
  <c r="B22" i="5"/>
  <c r="C21" i="5"/>
  <c r="B21" i="5"/>
  <c r="C20" i="5"/>
  <c r="B20" i="5"/>
  <c r="C19" i="5"/>
  <c r="B19" i="5"/>
  <c r="C18" i="5"/>
  <c r="B18" i="5"/>
  <c r="C17" i="5"/>
  <c r="B17" i="5"/>
  <c r="C16" i="5"/>
  <c r="B16" i="5"/>
  <c r="C15" i="5"/>
  <c r="B15" i="5"/>
  <c r="C14" i="5"/>
  <c r="B14" i="5"/>
  <c r="C13" i="5"/>
  <c r="B13" i="5"/>
  <c r="C12" i="5"/>
  <c r="B12" i="5"/>
  <c r="C11" i="5"/>
  <c r="B11" i="5"/>
  <c r="C10" i="5"/>
  <c r="B10" i="5"/>
  <c r="C9" i="5"/>
  <c r="B9" i="5"/>
  <c r="C8" i="5"/>
  <c r="B8" i="5"/>
  <c r="C7" i="5"/>
  <c r="B7" i="5"/>
  <c r="C6" i="5"/>
  <c r="B6" i="5"/>
  <c r="C5" i="5"/>
  <c r="B5" i="5"/>
  <c r="C4" i="5"/>
  <c r="B4" i="5"/>
  <c r="C3" i="5"/>
  <c r="B3" i="5"/>
  <c r="E43" i="5" l="1"/>
  <c r="E42" i="5"/>
  <c r="E41" i="5"/>
  <c r="E40" i="5"/>
  <c r="E39" i="5"/>
  <c r="E38" i="5"/>
  <c r="E37" i="5"/>
  <c r="E36" i="5"/>
  <c r="E35" i="5"/>
  <c r="E34" i="5"/>
  <c r="E33" i="5"/>
  <c r="E32" i="5"/>
  <c r="E31" i="5"/>
  <c r="E30" i="5"/>
  <c r="E29" i="5"/>
  <c r="E28" i="5"/>
  <c r="E27" i="5"/>
  <c r="E26" i="5"/>
  <c r="E25" i="5"/>
  <c r="E24" i="5"/>
  <c r="E23" i="5"/>
  <c r="E22" i="5"/>
  <c r="E21" i="5"/>
  <c r="E20" i="5"/>
  <c r="E19" i="5"/>
  <c r="E18" i="5"/>
  <c r="E17" i="5"/>
  <c r="E16" i="5"/>
  <c r="E15" i="5"/>
  <c r="E14" i="5"/>
  <c r="E13" i="5"/>
  <c r="E12" i="5"/>
  <c r="E11" i="5"/>
  <c r="E10" i="5"/>
  <c r="E9" i="5"/>
  <c r="E8" i="5"/>
  <c r="E7" i="5"/>
  <c r="E6" i="5"/>
  <c r="E5" i="5"/>
  <c r="E4" i="5"/>
  <c r="E3" i="5"/>
  <c r="AE43" i="5"/>
  <c r="AD43" i="5"/>
  <c r="AE42" i="5"/>
  <c r="AD42" i="5"/>
  <c r="AE41" i="5"/>
  <c r="AD41" i="5"/>
  <c r="AR40" i="5"/>
  <c r="AE40" i="5"/>
  <c r="AD40" i="5"/>
  <c r="AS39" i="5"/>
  <c r="AT39" i="5" s="1"/>
  <c r="AU39" i="5" s="1"/>
  <c r="AV39" i="5" s="1"/>
  <c r="AW39" i="5" s="1"/>
  <c r="AX39" i="5" s="1"/>
  <c r="AY39" i="5" s="1"/>
  <c r="AZ39" i="5" s="1"/>
  <c r="BA39" i="5" s="1"/>
  <c r="BB39" i="5" s="1"/>
  <c r="BC39" i="5" s="1"/>
  <c r="AR39" i="5"/>
  <c r="AE39" i="5"/>
  <c r="AD39" i="5"/>
  <c r="AV38" i="5"/>
  <c r="AW38" i="5" s="1"/>
  <c r="AX38" i="5" s="1"/>
  <c r="AY38" i="5" s="1"/>
  <c r="AZ38" i="5" s="1"/>
  <c r="BA38" i="5" s="1"/>
  <c r="BB38" i="5" s="1"/>
  <c r="BC38" i="5" s="1"/>
  <c r="AR38" i="5"/>
  <c r="AS38" i="5" s="1"/>
  <c r="AT38" i="5" s="1"/>
  <c r="AU38" i="5" s="1"/>
  <c r="BD38" i="5" s="1"/>
  <c r="AE38" i="5"/>
  <c r="AD38" i="5"/>
  <c r="AW37" i="5"/>
  <c r="AX37" i="5" s="1"/>
  <c r="AY37" i="5" s="1"/>
  <c r="AZ37" i="5" s="1"/>
  <c r="BA37" i="5" s="1"/>
  <c r="BB37" i="5" s="1"/>
  <c r="BC37" i="5" s="1"/>
  <c r="AT37" i="5"/>
  <c r="AU37" i="5" s="1"/>
  <c r="AV37" i="5" s="1"/>
  <c r="AS37" i="5"/>
  <c r="AR37" i="5"/>
  <c r="AE37" i="5"/>
  <c r="AD37" i="5"/>
  <c r="AU36" i="5"/>
  <c r="AV36" i="5" s="1"/>
  <c r="AR36" i="5"/>
  <c r="AS36" i="5" s="1"/>
  <c r="AT36" i="5" s="1"/>
  <c r="AE36" i="5"/>
  <c r="AD36" i="5"/>
  <c r="AS35" i="5"/>
  <c r="AT35" i="5" s="1"/>
  <c r="AU35" i="5" s="1"/>
  <c r="AV35" i="5" s="1"/>
  <c r="AW35" i="5" s="1"/>
  <c r="AX35" i="5" s="1"/>
  <c r="AY35" i="5" s="1"/>
  <c r="AZ35" i="5" s="1"/>
  <c r="BA35" i="5" s="1"/>
  <c r="BB35" i="5" s="1"/>
  <c r="BC35" i="5" s="1"/>
  <c r="AR35" i="5"/>
  <c r="AE35" i="5"/>
  <c r="AD35" i="5"/>
  <c r="AR34" i="5"/>
  <c r="AE34" i="5"/>
  <c r="AD34" i="5"/>
  <c r="AS33" i="5"/>
  <c r="AT33" i="5" s="1"/>
  <c r="AU33" i="5" s="1"/>
  <c r="AV33" i="5" s="1"/>
  <c r="AW33" i="5" s="1"/>
  <c r="AX33" i="5" s="1"/>
  <c r="AY33" i="5" s="1"/>
  <c r="AZ33" i="5" s="1"/>
  <c r="BA33" i="5" s="1"/>
  <c r="BB33" i="5" s="1"/>
  <c r="BC33" i="5" s="1"/>
  <c r="AR33" i="5"/>
  <c r="AE33" i="5"/>
  <c r="AD33" i="5"/>
  <c r="AR32" i="5"/>
  <c r="AE32" i="5"/>
  <c r="AD32" i="5"/>
  <c r="AE31" i="5"/>
  <c r="AD31" i="5"/>
  <c r="AR30" i="5"/>
  <c r="AE30" i="5"/>
  <c r="AD30" i="5"/>
  <c r="AE29" i="5"/>
  <c r="AD29" i="5"/>
  <c r="AE28" i="5"/>
  <c r="AD28" i="5"/>
  <c r="AE27" i="5"/>
  <c r="AD27" i="5"/>
  <c r="AR26" i="5"/>
  <c r="AE26" i="5"/>
  <c r="AD26" i="5"/>
  <c r="AE25" i="5"/>
  <c r="AD25" i="5"/>
  <c r="AR24" i="5"/>
  <c r="AE24" i="5"/>
  <c r="AD24" i="5"/>
  <c r="AE23" i="5"/>
  <c r="AD23" i="5"/>
  <c r="AR22" i="5"/>
  <c r="AE22" i="5"/>
  <c r="AD22" i="5"/>
  <c r="AE21" i="5"/>
  <c r="AD21" i="5"/>
  <c r="AD20" i="5"/>
  <c r="AE19" i="5"/>
  <c r="AD19" i="5"/>
  <c r="AR18" i="5"/>
  <c r="AE18" i="5"/>
  <c r="AD18" i="5"/>
  <c r="AD17" i="5"/>
  <c r="AE17" i="5" s="1"/>
  <c r="AD16" i="5"/>
  <c r="AE15" i="5"/>
  <c r="AD15" i="5"/>
  <c r="AE14" i="5"/>
  <c r="AD14" i="5"/>
  <c r="AD13" i="5"/>
  <c r="AE13" i="5" s="1"/>
  <c r="AD12" i="5"/>
  <c r="AE11" i="5"/>
  <c r="AD11" i="5"/>
  <c r="AR10" i="5"/>
  <c r="AE10" i="5"/>
  <c r="AD10" i="5"/>
  <c r="AD9" i="5"/>
  <c r="AD8" i="5"/>
  <c r="AE7" i="5"/>
  <c r="AD7" i="5"/>
  <c r="AE6" i="5"/>
  <c r="AD6" i="5"/>
  <c r="AD5" i="5"/>
  <c r="AE5" i="5" s="1"/>
  <c r="AD4" i="5"/>
  <c r="AE3" i="5"/>
  <c r="AD3" i="5"/>
  <c r="BC1" i="5"/>
  <c r="BB1" i="5"/>
  <c r="BA1" i="5"/>
  <c r="AZ1" i="5"/>
  <c r="AY1" i="5"/>
  <c r="AX1" i="5"/>
  <c r="AW1" i="5"/>
  <c r="AV1" i="5"/>
  <c r="AU1" i="5"/>
  <c r="AT1" i="5"/>
  <c r="AS1" i="5"/>
  <c r="AR1" i="5"/>
  <c r="AN1" i="5"/>
  <c r="AL1" i="5"/>
  <c r="AJ1" i="5"/>
  <c r="AH1" i="5"/>
  <c r="AF1" i="5"/>
  <c r="AD1" i="5"/>
  <c r="AC1" i="5"/>
  <c r="AB1" i="5"/>
  <c r="AA1" i="5"/>
  <c r="Z1" i="5"/>
  <c r="Y1" i="5"/>
  <c r="X1" i="5"/>
  <c r="W1" i="5"/>
  <c r="V1" i="5"/>
  <c r="U1" i="5"/>
  <c r="T1" i="5"/>
  <c r="S1" i="5"/>
  <c r="Q1" i="5"/>
  <c r="P1" i="5"/>
  <c r="O1" i="5"/>
  <c r="N1" i="5"/>
  <c r="M1" i="5"/>
  <c r="L1" i="5"/>
  <c r="K1" i="5"/>
  <c r="J1" i="5"/>
  <c r="I1" i="5"/>
  <c r="H1" i="5"/>
  <c r="G1" i="5"/>
  <c r="E1" i="5"/>
  <c r="B1" i="5"/>
  <c r="AR17" i="5" l="1"/>
  <c r="AS17" i="5"/>
  <c r="AT17" i="5" s="1"/>
  <c r="AU17" i="5" s="1"/>
  <c r="AV17" i="5" s="1"/>
  <c r="AW17" i="5" s="1"/>
  <c r="AX17" i="5" s="1"/>
  <c r="AY17" i="5" s="1"/>
  <c r="AZ17" i="5" s="1"/>
  <c r="BA17" i="5" s="1"/>
  <c r="BB17" i="5" s="1"/>
  <c r="BC17" i="5" s="1"/>
  <c r="AW36" i="5"/>
  <c r="AX36" i="5" s="1"/>
  <c r="AY36" i="5" s="1"/>
  <c r="AZ36" i="5" s="1"/>
  <c r="BA36" i="5" s="1"/>
  <c r="BB36" i="5" s="1"/>
  <c r="BC36" i="5" s="1"/>
  <c r="BD36" i="5"/>
  <c r="AR6" i="5"/>
  <c r="AS40" i="5"/>
  <c r="AT40" i="5" s="1"/>
  <c r="AU40" i="5" s="1"/>
  <c r="AV40" i="5" s="1"/>
  <c r="AW40" i="5" s="1"/>
  <c r="AX40" i="5" s="1"/>
  <c r="AY40" i="5" s="1"/>
  <c r="AZ40" i="5" s="1"/>
  <c r="BA40" i="5" s="1"/>
  <c r="BB40" i="5" s="1"/>
  <c r="BC40" i="5" s="1"/>
  <c r="AR15" i="5"/>
  <c r="AE16" i="5"/>
  <c r="AR3" i="5"/>
  <c r="AE9" i="5"/>
  <c r="AR11" i="5"/>
  <c r="AS15" i="5"/>
  <c r="AT15" i="5" s="1"/>
  <c r="AU15" i="5" s="1"/>
  <c r="AV15" i="5" s="1"/>
  <c r="AW15" i="5" s="1"/>
  <c r="AX15" i="5" s="1"/>
  <c r="AY15" i="5" s="1"/>
  <c r="AZ15" i="5" s="1"/>
  <c r="BA15" i="5" s="1"/>
  <c r="BB15" i="5" s="1"/>
  <c r="BC15" i="5" s="1"/>
  <c r="AR19" i="5"/>
  <c r="AR14" i="5"/>
  <c r="AR7" i="5"/>
  <c r="AE8" i="5"/>
  <c r="AR28" i="5"/>
  <c r="AS3" i="5"/>
  <c r="AT3" i="5" s="1"/>
  <c r="AU3" i="5" s="1"/>
  <c r="AV3" i="5" s="1"/>
  <c r="AW3" i="5" s="1"/>
  <c r="AX3" i="5" s="1"/>
  <c r="AY3" i="5" s="1"/>
  <c r="AZ3" i="5" s="1"/>
  <c r="BA3" i="5" s="1"/>
  <c r="BB3" i="5" s="1"/>
  <c r="BC3" i="5" s="1"/>
  <c r="AR5" i="5"/>
  <c r="AS10" i="5"/>
  <c r="AT10" i="5" s="1"/>
  <c r="AU10" i="5"/>
  <c r="AV10" i="5" s="1"/>
  <c r="AW10" i="5" s="1"/>
  <c r="AX10" i="5" s="1"/>
  <c r="AY10" i="5" s="1"/>
  <c r="AZ10" i="5" s="1"/>
  <c r="BA10" i="5" s="1"/>
  <c r="BB10" i="5" s="1"/>
  <c r="BC10" i="5" s="1"/>
  <c r="AR13" i="5"/>
  <c r="AS18" i="5"/>
  <c r="AT18" i="5" s="1"/>
  <c r="AU18" i="5" s="1"/>
  <c r="AV18" i="5" s="1"/>
  <c r="AW18" i="5" s="1"/>
  <c r="AX18" i="5" s="1"/>
  <c r="AY18" i="5" s="1"/>
  <c r="AZ18" i="5" s="1"/>
  <c r="BA18" i="5" s="1"/>
  <c r="BB18" i="5" s="1"/>
  <c r="BC18" i="5" s="1"/>
  <c r="AS19" i="5"/>
  <c r="AT19" i="5" s="1"/>
  <c r="AU19" i="5" s="1"/>
  <c r="AV19" i="5" s="1"/>
  <c r="AW19" i="5" s="1"/>
  <c r="AX19" i="5" s="1"/>
  <c r="AY19" i="5" s="1"/>
  <c r="AZ19" i="5" s="1"/>
  <c r="BA19" i="5" s="1"/>
  <c r="BB19" i="5" s="1"/>
  <c r="BC19" i="5" s="1"/>
  <c r="AT24" i="5"/>
  <c r="AU24" i="5" s="1"/>
  <c r="AV24" i="5" s="1"/>
  <c r="AW24" i="5" s="1"/>
  <c r="AX24" i="5" s="1"/>
  <c r="AY24" i="5" s="1"/>
  <c r="AZ24" i="5" s="1"/>
  <c r="BA24" i="5" s="1"/>
  <c r="BB24" i="5" s="1"/>
  <c r="BC24" i="5" s="1"/>
  <c r="AS24" i="5"/>
  <c r="AT32" i="5"/>
  <c r="AU32" i="5" s="1"/>
  <c r="AV32" i="5" s="1"/>
  <c r="AW32" i="5" s="1"/>
  <c r="AX32" i="5" s="1"/>
  <c r="AY32" i="5" s="1"/>
  <c r="AZ32" i="5" s="1"/>
  <c r="BA32" i="5" s="1"/>
  <c r="BB32" i="5" s="1"/>
  <c r="BC32" i="5" s="1"/>
  <c r="AS32" i="5"/>
  <c r="BD32" i="5" s="1"/>
  <c r="BD33" i="5"/>
  <c r="BD39" i="5"/>
  <c r="AE4" i="5"/>
  <c r="AE12" i="5"/>
  <c r="AE20" i="5"/>
  <c r="AT22" i="5"/>
  <c r="AU22" i="5" s="1"/>
  <c r="AV22" i="5" s="1"/>
  <c r="AW22" i="5" s="1"/>
  <c r="AS22" i="5"/>
  <c r="AT26" i="5"/>
  <c r="AU26" i="5" s="1"/>
  <c r="AV26" i="5" s="1"/>
  <c r="AW26" i="5"/>
  <c r="AX26" i="5" s="1"/>
  <c r="AY26" i="5" s="1"/>
  <c r="AZ26" i="5" s="1"/>
  <c r="BA26" i="5" s="1"/>
  <c r="BB26" i="5" s="1"/>
  <c r="BC26" i="5" s="1"/>
  <c r="AS26" i="5"/>
  <c r="AS30" i="5"/>
  <c r="BD37" i="5"/>
  <c r="AS42" i="5"/>
  <c r="AT42" i="5" s="1"/>
  <c r="AU42" i="5" s="1"/>
  <c r="AV42" i="5" s="1"/>
  <c r="AW42" i="5" s="1"/>
  <c r="AX42" i="5" s="1"/>
  <c r="AY42" i="5" s="1"/>
  <c r="AZ42" i="5" s="1"/>
  <c r="BA42" i="5" s="1"/>
  <c r="BB42" i="5" s="1"/>
  <c r="BC42" i="5" s="1"/>
  <c r="AT34" i="5"/>
  <c r="AU34" i="5" s="1"/>
  <c r="AV34" i="5" s="1"/>
  <c r="AW34" i="5" s="1"/>
  <c r="AX34" i="5" s="1"/>
  <c r="AY34" i="5" s="1"/>
  <c r="AZ34" i="5" s="1"/>
  <c r="BA34" i="5" s="1"/>
  <c r="BB34" i="5" s="1"/>
  <c r="BC34" i="5" s="1"/>
  <c r="AS34" i="5"/>
  <c r="BD35" i="5"/>
  <c r="AR42" i="5"/>
  <c r="AR21" i="5"/>
  <c r="AR23" i="5"/>
  <c r="AR25" i="5"/>
  <c r="AR27" i="5"/>
  <c r="AR29" i="5"/>
  <c r="AR31" i="5"/>
  <c r="AR41" i="5"/>
  <c r="AR43" i="5"/>
  <c r="AX22" i="5" l="1"/>
  <c r="AY22" i="5" s="1"/>
  <c r="AZ22" i="5" s="1"/>
  <c r="BA22" i="5" s="1"/>
  <c r="BB22" i="5" s="1"/>
  <c r="BC22" i="5" s="1"/>
  <c r="BD22" i="5"/>
  <c r="AR20" i="5"/>
  <c r="AS20" i="5"/>
  <c r="AT20" i="5" s="1"/>
  <c r="AU20" i="5" s="1"/>
  <c r="AV20" i="5" s="1"/>
  <c r="AW20" i="5" s="1"/>
  <c r="AX20" i="5" s="1"/>
  <c r="AY20" i="5" s="1"/>
  <c r="AZ20" i="5" s="1"/>
  <c r="BA20" i="5" s="1"/>
  <c r="BB20" i="5" s="1"/>
  <c r="BC20" i="5" s="1"/>
  <c r="AR4" i="5"/>
  <c r="AS4" i="5"/>
  <c r="AT4" i="5" s="1"/>
  <c r="AU4" i="5" s="1"/>
  <c r="AV4" i="5" s="1"/>
  <c r="AW4" i="5" s="1"/>
  <c r="AX4" i="5" s="1"/>
  <c r="AY4" i="5" s="1"/>
  <c r="AZ4" i="5" s="1"/>
  <c r="BA4" i="5" s="1"/>
  <c r="BB4" i="5" s="1"/>
  <c r="BC4" i="5" s="1"/>
  <c r="BD34" i="5"/>
  <c r="AS5" i="5"/>
  <c r="AT5" i="5" s="1"/>
  <c r="AU5" i="5" s="1"/>
  <c r="AV5" i="5" s="1"/>
  <c r="AW5" i="5" s="1"/>
  <c r="AX5" i="5" s="1"/>
  <c r="AY5" i="5" s="1"/>
  <c r="AZ5" i="5" s="1"/>
  <c r="BA5" i="5" s="1"/>
  <c r="BB5" i="5" s="1"/>
  <c r="BC5" i="5" s="1"/>
  <c r="BD3" i="5"/>
  <c r="AS16" i="5"/>
  <c r="AT16" i="5" s="1"/>
  <c r="AU16" i="5" s="1"/>
  <c r="AV16" i="5" s="1"/>
  <c r="AW16" i="5" s="1"/>
  <c r="AX16" i="5" s="1"/>
  <c r="AY16" i="5" s="1"/>
  <c r="AZ16" i="5" s="1"/>
  <c r="BA16" i="5" s="1"/>
  <c r="BB16" i="5" s="1"/>
  <c r="BC16" i="5" s="1"/>
  <c r="AR16" i="5"/>
  <c r="BD17" i="5"/>
  <c r="BD24" i="5"/>
  <c r="AS43" i="5"/>
  <c r="AT43" i="5" s="1"/>
  <c r="AU43" i="5" s="1"/>
  <c r="AV43" i="5" s="1"/>
  <c r="AW43" i="5" s="1"/>
  <c r="AX43" i="5" s="1"/>
  <c r="AY43" i="5" s="1"/>
  <c r="AZ43" i="5" s="1"/>
  <c r="BA43" i="5" s="1"/>
  <c r="BB43" i="5" s="1"/>
  <c r="BC43" i="5" s="1"/>
  <c r="BD31" i="5"/>
  <c r="AS31" i="5"/>
  <c r="AT31" i="5" s="1"/>
  <c r="AU31" i="5" s="1"/>
  <c r="AV31" i="5" s="1"/>
  <c r="AW31" i="5" s="1"/>
  <c r="AX31" i="5" s="1"/>
  <c r="AY31" i="5" s="1"/>
  <c r="AZ31" i="5" s="1"/>
  <c r="BA31" i="5" s="1"/>
  <c r="BB31" i="5" s="1"/>
  <c r="BC31" i="5" s="1"/>
  <c r="AS27" i="5"/>
  <c r="AT27" i="5" s="1"/>
  <c r="AU27" i="5" s="1"/>
  <c r="AV27" i="5" s="1"/>
  <c r="AW27" i="5" s="1"/>
  <c r="AX27" i="5" s="1"/>
  <c r="AY27" i="5" s="1"/>
  <c r="AZ27" i="5" s="1"/>
  <c r="BA27" i="5" s="1"/>
  <c r="BB27" i="5" s="1"/>
  <c r="BC27" i="5" s="1"/>
  <c r="BD23" i="5"/>
  <c r="AS23" i="5"/>
  <c r="AT23" i="5" s="1"/>
  <c r="AU23" i="5" s="1"/>
  <c r="AV23" i="5" s="1"/>
  <c r="AW23" i="5" s="1"/>
  <c r="AX23" i="5" s="1"/>
  <c r="AY23" i="5" s="1"/>
  <c r="AZ23" i="5" s="1"/>
  <c r="BA23" i="5" s="1"/>
  <c r="BB23" i="5" s="1"/>
  <c r="BC23" i="5" s="1"/>
  <c r="BD42" i="5"/>
  <c r="BD19" i="5"/>
  <c r="BD18" i="5"/>
  <c r="AR12" i="5"/>
  <c r="AS12" i="5"/>
  <c r="AT12" i="5" s="1"/>
  <c r="AU12" i="5" s="1"/>
  <c r="AV12" i="5" s="1"/>
  <c r="AW12" i="5" s="1"/>
  <c r="AX12" i="5" s="1"/>
  <c r="AY12" i="5" s="1"/>
  <c r="AZ12" i="5" s="1"/>
  <c r="BA12" i="5" s="1"/>
  <c r="BB12" i="5" s="1"/>
  <c r="BC12" i="5" s="1"/>
  <c r="AS13" i="5"/>
  <c r="AT13" i="5" s="1"/>
  <c r="AU13" i="5" s="1"/>
  <c r="AV13" i="5" s="1"/>
  <c r="AW13" i="5" s="1"/>
  <c r="AX13" i="5" s="1"/>
  <c r="AY13" i="5" s="1"/>
  <c r="AZ13" i="5" s="1"/>
  <c r="BA13" i="5" s="1"/>
  <c r="BB13" i="5" s="1"/>
  <c r="BC13" i="5" s="1"/>
  <c r="AS11" i="5"/>
  <c r="AT11" i="5" s="1"/>
  <c r="AU11" i="5" s="1"/>
  <c r="AV11" i="5" s="1"/>
  <c r="AW11" i="5" s="1"/>
  <c r="AX11" i="5" s="1"/>
  <c r="AY11" i="5" s="1"/>
  <c r="AZ11" i="5" s="1"/>
  <c r="BA11" i="5" s="1"/>
  <c r="BB11" i="5" s="1"/>
  <c r="BC11" i="5" s="1"/>
  <c r="AR9" i="5"/>
  <c r="AS9" i="5"/>
  <c r="AT9" i="5" s="1"/>
  <c r="AU9" i="5" s="1"/>
  <c r="AV9" i="5" s="1"/>
  <c r="AW9" i="5" s="1"/>
  <c r="AX9" i="5" s="1"/>
  <c r="AY9" i="5" s="1"/>
  <c r="AZ9" i="5" s="1"/>
  <c r="BA9" i="5" s="1"/>
  <c r="BB9" i="5" s="1"/>
  <c r="BC9" i="5" s="1"/>
  <c r="BD15" i="5"/>
  <c r="AS28" i="5"/>
  <c r="AT28" i="5" s="1"/>
  <c r="AU28" i="5" s="1"/>
  <c r="AV28" i="5" s="1"/>
  <c r="AW28" i="5" s="1"/>
  <c r="AX28" i="5" s="1"/>
  <c r="AY28" i="5" s="1"/>
  <c r="AZ28" i="5" s="1"/>
  <c r="BA28" i="5" s="1"/>
  <c r="BB28" i="5" s="1"/>
  <c r="BC28" i="5" s="1"/>
  <c r="BD41" i="5"/>
  <c r="AS41" i="5"/>
  <c r="AT41" i="5" s="1"/>
  <c r="AU41" i="5" s="1"/>
  <c r="AV41" i="5" s="1"/>
  <c r="AW41" i="5" s="1"/>
  <c r="AX41" i="5" s="1"/>
  <c r="AY41" i="5" s="1"/>
  <c r="AZ41" i="5" s="1"/>
  <c r="BA41" i="5" s="1"/>
  <c r="BB41" i="5" s="1"/>
  <c r="BC41" i="5" s="1"/>
  <c r="AS29" i="5"/>
  <c r="AT29" i="5" s="1"/>
  <c r="AU29" i="5" s="1"/>
  <c r="AV29" i="5" s="1"/>
  <c r="AW29" i="5" s="1"/>
  <c r="AX29" i="5" s="1"/>
  <c r="AY29" i="5" s="1"/>
  <c r="AZ29" i="5" s="1"/>
  <c r="BA29" i="5" s="1"/>
  <c r="BB29" i="5" s="1"/>
  <c r="BC29" i="5" s="1"/>
  <c r="BD25" i="5"/>
  <c r="AS25" i="5"/>
  <c r="AT25" i="5" s="1"/>
  <c r="AU25" i="5" s="1"/>
  <c r="AV25" i="5" s="1"/>
  <c r="AW25" i="5" s="1"/>
  <c r="AX25" i="5" s="1"/>
  <c r="AY25" i="5" s="1"/>
  <c r="AZ25" i="5" s="1"/>
  <c r="BA25" i="5" s="1"/>
  <c r="BB25" i="5" s="1"/>
  <c r="BC25" i="5" s="1"/>
  <c r="AS21" i="5"/>
  <c r="AT21" i="5" s="1"/>
  <c r="AU21" i="5" s="1"/>
  <c r="AV21" i="5" s="1"/>
  <c r="AW21" i="5" s="1"/>
  <c r="AX21" i="5" s="1"/>
  <c r="AY21" i="5" s="1"/>
  <c r="AZ21" i="5" s="1"/>
  <c r="BA21" i="5" s="1"/>
  <c r="BB21" i="5" s="1"/>
  <c r="BC21" i="5" s="1"/>
  <c r="AT30" i="5"/>
  <c r="AU30" i="5" s="1"/>
  <c r="AV30" i="5" s="1"/>
  <c r="AW30" i="5" s="1"/>
  <c r="AX30" i="5" s="1"/>
  <c r="AY30" i="5" s="1"/>
  <c r="AZ30" i="5" s="1"/>
  <c r="BA30" i="5" s="1"/>
  <c r="BB30" i="5" s="1"/>
  <c r="BC30" i="5" s="1"/>
  <c r="BD26" i="5"/>
  <c r="AR8" i="5"/>
  <c r="AS14" i="5"/>
  <c r="AT14" i="5" s="1"/>
  <c r="AU14" i="5" s="1"/>
  <c r="AV14" i="5" s="1"/>
  <c r="AW14" i="5" s="1"/>
  <c r="AX14" i="5" s="1"/>
  <c r="AY14" i="5" s="1"/>
  <c r="AZ14" i="5" s="1"/>
  <c r="BA14" i="5" s="1"/>
  <c r="BB14" i="5" s="1"/>
  <c r="BC14" i="5" s="1"/>
  <c r="AS7" i="5"/>
  <c r="AT7" i="5" s="1"/>
  <c r="AU7" i="5" s="1"/>
  <c r="AV7" i="5" s="1"/>
  <c r="AW7" i="5" s="1"/>
  <c r="AX7" i="5" s="1"/>
  <c r="AY7" i="5" s="1"/>
  <c r="AZ7" i="5" s="1"/>
  <c r="BA7" i="5" s="1"/>
  <c r="BB7" i="5" s="1"/>
  <c r="BC7" i="5" s="1"/>
  <c r="BD40" i="5"/>
  <c r="AS6" i="5"/>
  <c r="AT6" i="5" s="1"/>
  <c r="AU6" i="5" s="1"/>
  <c r="AV6" i="5" s="1"/>
  <c r="AW6" i="5" s="1"/>
  <c r="AX6" i="5" s="1"/>
  <c r="AY6" i="5" s="1"/>
  <c r="AZ6" i="5" s="1"/>
  <c r="BA6" i="5" s="1"/>
  <c r="BB6" i="5" s="1"/>
  <c r="BC6" i="5" s="1"/>
  <c r="BD10" i="5"/>
  <c r="BD9" i="5" l="1"/>
  <c r="BD12" i="5"/>
  <c r="BD11" i="5"/>
  <c r="AS8" i="5"/>
  <c r="AT8" i="5" s="1"/>
  <c r="AU8" i="5" s="1"/>
  <c r="AV8" i="5" s="1"/>
  <c r="AW8" i="5" s="1"/>
  <c r="AX8" i="5" s="1"/>
  <c r="AY8" i="5" s="1"/>
  <c r="AZ8" i="5" s="1"/>
  <c r="BA8" i="5" s="1"/>
  <c r="BB8" i="5" s="1"/>
  <c r="BC8" i="5" s="1"/>
  <c r="BD21" i="5"/>
  <c r="BD29" i="5"/>
  <c r="BD13" i="5"/>
  <c r="BD14" i="5"/>
  <c r="BD27" i="5"/>
  <c r="BD43" i="5"/>
  <c r="BD16" i="5"/>
  <c r="BD4" i="5"/>
  <c r="BD28" i="5"/>
  <c r="BD6" i="5"/>
  <c r="BD7" i="5"/>
  <c r="BD5" i="5"/>
  <c r="BD20" i="5"/>
  <c r="BD30" i="5"/>
  <c r="BD8" i="5" l="1"/>
  <c r="A14" i="19" l="1"/>
  <c r="BW14" i="19"/>
  <c r="BV14" i="19"/>
  <c r="BU14" i="19"/>
  <c r="BR14" i="19"/>
  <c r="BQ14" i="19"/>
  <c r="BP14" i="19"/>
  <c r="BA14" i="19"/>
  <c r="AX14" i="19"/>
  <c r="AV14" i="19"/>
  <c r="AH14" i="19"/>
  <c r="AD14" i="19"/>
  <c r="AB14" i="19"/>
  <c r="U14" i="19"/>
  <c r="S14" i="19"/>
  <c r="Q14" i="19"/>
  <c r="O14" i="19"/>
  <c r="M14" i="19"/>
  <c r="K14" i="19"/>
  <c r="H14" i="19"/>
  <c r="C14" i="19"/>
  <c r="B14" i="19"/>
  <c r="E23" i="11" l="1"/>
  <c r="E22" i="11"/>
  <c r="E21" i="11"/>
  <c r="E20" i="11"/>
  <c r="E19" i="11"/>
  <c r="E18" i="11"/>
  <c r="E17" i="11"/>
  <c r="E16" i="11"/>
  <c r="E15" i="11"/>
  <c r="E14" i="11"/>
  <c r="E13" i="11"/>
  <c r="E12" i="11"/>
  <c r="E11" i="11"/>
  <c r="E10" i="11"/>
  <c r="E9" i="11"/>
  <c r="E8" i="11"/>
  <c r="E7" i="11"/>
  <c r="E6" i="11"/>
  <c r="E5" i="11"/>
  <c r="E4" i="11"/>
  <c r="E3" i="11"/>
  <c r="A23" i="11"/>
  <c r="A22" i="11"/>
  <c r="A21" i="11"/>
  <c r="A20" i="11"/>
  <c r="A19" i="11"/>
  <c r="A18" i="11"/>
  <c r="A17" i="11"/>
  <c r="A16" i="11"/>
  <c r="A15" i="11"/>
  <c r="A14" i="11"/>
  <c r="A13" i="11"/>
  <c r="A12" i="11"/>
  <c r="A11" i="11"/>
  <c r="A10" i="11"/>
  <c r="A9" i="11"/>
  <c r="A8" i="11"/>
  <c r="A7" i="11"/>
  <c r="A6" i="11"/>
  <c r="A5" i="11"/>
  <c r="A4" i="11"/>
  <c r="A3" i="11"/>
  <c r="AV23" i="11"/>
  <c r="AU23" i="11"/>
  <c r="AT23" i="11"/>
  <c r="AV22" i="11"/>
  <c r="AU22" i="11"/>
  <c r="AT22" i="11"/>
  <c r="AV21" i="11"/>
  <c r="AU21" i="11"/>
  <c r="AT21" i="11"/>
  <c r="AV20" i="11"/>
  <c r="AU20" i="11"/>
  <c r="AT20" i="11"/>
  <c r="AV19" i="11"/>
  <c r="AU19" i="11"/>
  <c r="AT19" i="11"/>
  <c r="AV18" i="11"/>
  <c r="AU18" i="11"/>
  <c r="AT18" i="11"/>
  <c r="AV17" i="11"/>
  <c r="AU17" i="11"/>
  <c r="AT17" i="11"/>
  <c r="AV16" i="11"/>
  <c r="AU16" i="11"/>
  <c r="AT16" i="11"/>
  <c r="AV15" i="11"/>
  <c r="AU15" i="11"/>
  <c r="AT15" i="11"/>
  <c r="AV14" i="11"/>
  <c r="AU14" i="11"/>
  <c r="AT14" i="11"/>
  <c r="AV13" i="11"/>
  <c r="AU13" i="11"/>
  <c r="AT13" i="11"/>
  <c r="AV12" i="11"/>
  <c r="AU12" i="11"/>
  <c r="AT12" i="11"/>
  <c r="AV11" i="11"/>
  <c r="AU11" i="11"/>
  <c r="AT11" i="11"/>
  <c r="I24" i="11"/>
  <c r="J24" i="11"/>
  <c r="K24" i="11"/>
  <c r="L24" i="11"/>
  <c r="M24" i="11"/>
  <c r="N24" i="11"/>
  <c r="O24" i="11"/>
  <c r="P24" i="11"/>
  <c r="Q24" i="11"/>
  <c r="R24" i="11"/>
  <c r="S24" i="11"/>
  <c r="T24" i="11"/>
  <c r="U24" i="11"/>
  <c r="V24" i="11"/>
  <c r="W24" i="11"/>
  <c r="X24" i="11"/>
  <c r="Y24" i="11"/>
  <c r="Z24" i="11"/>
  <c r="AA24" i="11"/>
  <c r="AB24" i="11"/>
  <c r="AC24" i="11"/>
  <c r="AD24" i="11"/>
  <c r="AE24" i="11"/>
  <c r="AF24" i="11"/>
  <c r="AG24" i="11"/>
  <c r="AH24" i="11"/>
  <c r="AI24" i="11"/>
  <c r="AJ24" i="11"/>
  <c r="AK24" i="11"/>
  <c r="AL24" i="11"/>
  <c r="AM24" i="11"/>
  <c r="AN24" i="11"/>
  <c r="AO24" i="11"/>
  <c r="AP24" i="11"/>
  <c r="AQ24" i="11"/>
  <c r="AR24" i="11"/>
  <c r="AV10" i="11"/>
  <c r="AU10" i="11"/>
  <c r="AT10" i="11"/>
  <c r="AV9" i="11"/>
  <c r="AU9" i="11"/>
  <c r="AT9" i="11"/>
  <c r="AV8" i="11"/>
  <c r="AU8" i="11"/>
  <c r="AT8" i="11"/>
  <c r="AV7" i="11"/>
  <c r="AU7" i="11"/>
  <c r="AT7" i="11"/>
  <c r="AV6" i="11"/>
  <c r="AU6" i="11"/>
  <c r="AT6" i="11"/>
  <c r="AV5" i="11"/>
  <c r="AU5" i="11"/>
  <c r="AT5" i="11"/>
  <c r="AV4" i="11"/>
  <c r="AU4" i="11"/>
  <c r="AT4" i="11"/>
  <c r="AV3" i="11"/>
  <c r="AU3" i="11"/>
  <c r="AT3" i="11"/>
  <c r="L1" i="11"/>
  <c r="O1" i="11" s="1"/>
  <c r="R1" i="11" s="1"/>
  <c r="U1" i="11" s="1"/>
  <c r="X1" i="11" s="1"/>
  <c r="AA1" i="11" s="1"/>
  <c r="AD1" i="11" s="1"/>
  <c r="AG1" i="11" s="1"/>
  <c r="AJ1" i="11" s="1"/>
  <c r="AM1" i="11" s="1"/>
  <c r="AP1" i="11" s="1"/>
  <c r="E1" i="11"/>
  <c r="A1" i="11"/>
  <c r="O19" i="9"/>
  <c r="N19" i="9"/>
  <c r="M19" i="9"/>
  <c r="L19" i="9"/>
  <c r="K19" i="9"/>
  <c r="J19" i="9"/>
  <c r="I19" i="9"/>
  <c r="H19" i="9"/>
  <c r="G19" i="9"/>
  <c r="F19" i="9"/>
  <c r="E19" i="9"/>
  <c r="D19" i="9"/>
  <c r="Q19" i="9" s="1"/>
  <c r="Q18" i="9"/>
  <c r="Q17" i="9"/>
  <c r="Q16" i="9"/>
  <c r="Q15" i="9"/>
  <c r="Q14" i="9"/>
  <c r="Q13" i="9"/>
  <c r="Q12" i="9"/>
  <c r="Q11" i="9"/>
  <c r="Q10" i="9"/>
  <c r="Q9" i="9"/>
  <c r="Q8" i="9"/>
  <c r="Q7" i="9"/>
  <c r="Q6" i="9"/>
  <c r="Q5" i="9"/>
  <c r="Q4" i="9"/>
  <c r="A4" i="9"/>
  <c r="A5" i="9" s="1"/>
  <c r="A6" i="9" s="1"/>
  <c r="A7" i="9" s="1"/>
  <c r="A8" i="9" s="1"/>
  <c r="A9" i="9" s="1"/>
  <c r="A10" i="9" s="1"/>
  <c r="A11" i="9" s="1"/>
  <c r="A12" i="9" s="1"/>
  <c r="A13" i="9" s="1"/>
  <c r="A14" i="9" s="1"/>
  <c r="A15" i="9" s="1"/>
  <c r="A16" i="9" s="1"/>
  <c r="A17" i="9" s="1"/>
  <c r="A18" i="9" s="1"/>
  <c r="Q3" i="9"/>
  <c r="AU24" i="11" l="1"/>
  <c r="AV24" i="11"/>
  <c r="AT24" i="11"/>
  <c r="B45" i="19" l="1"/>
  <c r="C45" i="19"/>
  <c r="F45" i="19"/>
  <c r="G45" i="19"/>
  <c r="H45" i="19"/>
  <c r="K45" i="19"/>
  <c r="M45" i="19"/>
  <c r="O45" i="19"/>
  <c r="Q45" i="19"/>
  <c r="S45" i="19"/>
  <c r="U45" i="19"/>
  <c r="X45" i="19"/>
  <c r="Y45" i="19"/>
  <c r="AB45" i="19"/>
  <c r="AD45" i="19"/>
  <c r="AH45" i="19"/>
  <c r="AV45" i="19"/>
  <c r="AX45" i="19"/>
  <c r="BA45" i="19"/>
  <c r="BP45" i="19"/>
  <c r="BQ45" i="19"/>
  <c r="BR45" i="19"/>
  <c r="BU45" i="19"/>
  <c r="BV45" i="19"/>
  <c r="BW45" i="19"/>
  <c r="BW21" i="16" l="1"/>
  <c r="BV21" i="16"/>
  <c r="BU21" i="16"/>
  <c r="BR21" i="16"/>
  <c r="BQ21" i="16"/>
  <c r="BP21" i="16"/>
  <c r="BA21" i="16"/>
  <c r="AX21" i="16"/>
  <c r="AV21" i="16"/>
  <c r="AH21" i="16"/>
  <c r="AD21" i="16"/>
  <c r="AB21" i="16"/>
  <c r="U21" i="16"/>
  <c r="S21" i="16"/>
  <c r="Q21" i="16"/>
  <c r="O21" i="16"/>
  <c r="M21" i="16"/>
  <c r="K21" i="16"/>
  <c r="H21" i="16"/>
  <c r="C21" i="16"/>
  <c r="B21" i="16"/>
  <c r="BW28" i="16"/>
  <c r="BV28" i="16"/>
  <c r="BU28" i="16"/>
  <c r="BR28" i="16"/>
  <c r="BQ28" i="16"/>
  <c r="BP28" i="16"/>
  <c r="BA28" i="16"/>
  <c r="AX28" i="16"/>
  <c r="AV28" i="16"/>
  <c r="AH28" i="16"/>
  <c r="AD28" i="16"/>
  <c r="AB28" i="16"/>
  <c r="U28" i="16"/>
  <c r="S28" i="16"/>
  <c r="Q28" i="16"/>
  <c r="O28" i="16"/>
  <c r="M28" i="16"/>
  <c r="K28" i="16"/>
  <c r="H28" i="16"/>
  <c r="C28" i="16"/>
  <c r="B28" i="16"/>
  <c r="BW39" i="16"/>
  <c r="BV39" i="16"/>
  <c r="BU39" i="16"/>
  <c r="BR39" i="16"/>
  <c r="BQ39" i="16"/>
  <c r="BP39" i="16"/>
  <c r="BA39" i="16"/>
  <c r="AX39" i="16"/>
  <c r="AV39" i="16"/>
  <c r="AH39" i="16"/>
  <c r="AD39" i="16"/>
  <c r="AB39" i="16"/>
  <c r="U39" i="16"/>
  <c r="S39" i="16"/>
  <c r="Q39" i="16"/>
  <c r="O39" i="16"/>
  <c r="M39" i="16"/>
  <c r="K39" i="16"/>
  <c r="H39" i="16"/>
  <c r="C39" i="16"/>
  <c r="B39" i="16"/>
  <c r="BW50" i="16"/>
  <c r="BV50" i="16"/>
  <c r="BU50" i="16"/>
  <c r="BR50" i="16"/>
  <c r="BQ50" i="16"/>
  <c r="BP50" i="16"/>
  <c r="BA50" i="16"/>
  <c r="AX50" i="16"/>
  <c r="AV50" i="16"/>
  <c r="AH50" i="16"/>
  <c r="AD50" i="16"/>
  <c r="AB50" i="16"/>
  <c r="U50" i="16"/>
  <c r="S50" i="16"/>
  <c r="Q50" i="16"/>
  <c r="O50" i="16"/>
  <c r="M50" i="16"/>
  <c r="K50" i="16"/>
  <c r="H50" i="16"/>
  <c r="C50" i="16"/>
  <c r="B50" i="16"/>
  <c r="BW58" i="16"/>
  <c r="BV58" i="16"/>
  <c r="BU58" i="16"/>
  <c r="BR58" i="16"/>
  <c r="BQ58" i="16"/>
  <c r="BP58" i="16"/>
  <c r="BA58" i="16"/>
  <c r="AX58" i="16"/>
  <c r="AV58" i="16"/>
  <c r="AH58" i="16"/>
  <c r="AD58" i="16"/>
  <c r="AB58" i="16"/>
  <c r="U58" i="16"/>
  <c r="S58" i="16"/>
  <c r="Q58" i="16"/>
  <c r="O58" i="16"/>
  <c r="M58" i="16"/>
  <c r="K58" i="16"/>
  <c r="H58" i="16"/>
  <c r="C58" i="16"/>
  <c r="B58" i="16"/>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 i="4"/>
  <c r="B4" i="20" l="1"/>
  <c r="C4" i="20"/>
  <c r="F4" i="20"/>
  <c r="G4" i="20"/>
  <c r="H4" i="20"/>
  <c r="K4" i="20"/>
  <c r="M4" i="20"/>
  <c r="O4" i="20"/>
  <c r="Q4" i="20"/>
  <c r="S4" i="20"/>
  <c r="U4" i="20"/>
  <c r="X4" i="20"/>
  <c r="Y4" i="20"/>
  <c r="AB4" i="20"/>
  <c r="AD4" i="20"/>
  <c r="AH4" i="20"/>
  <c r="AV4" i="20"/>
  <c r="AX4" i="20"/>
  <c r="BA4" i="20"/>
  <c r="BP4" i="20"/>
  <c r="BQ4" i="20"/>
  <c r="BR4" i="20"/>
  <c r="BU4" i="20"/>
  <c r="BV4" i="20"/>
  <c r="BW4" i="20"/>
  <c r="BW13" i="19"/>
  <c r="BV13" i="19"/>
  <c r="BU13" i="19"/>
  <c r="BR13" i="19"/>
  <c r="BQ13" i="19"/>
  <c r="BP13" i="19"/>
  <c r="BA13" i="19"/>
  <c r="AX13" i="19"/>
  <c r="AV13" i="19"/>
  <c r="AH13" i="19"/>
  <c r="AD13" i="19"/>
  <c r="AB13" i="19"/>
  <c r="U13" i="19"/>
  <c r="S13" i="19"/>
  <c r="Q13" i="19"/>
  <c r="O13" i="19"/>
  <c r="M13" i="19"/>
  <c r="K13" i="19"/>
  <c r="H13" i="19"/>
  <c r="C13" i="19"/>
  <c r="B13" i="19"/>
  <c r="BW12" i="19"/>
  <c r="BV12" i="19"/>
  <c r="BU12" i="19"/>
  <c r="BR12" i="19"/>
  <c r="BQ12" i="19"/>
  <c r="BP12" i="19"/>
  <c r="BA12" i="19"/>
  <c r="AX12" i="19"/>
  <c r="AV12" i="19"/>
  <c r="AH12" i="19"/>
  <c r="AD12" i="19"/>
  <c r="AB12" i="19"/>
  <c r="U12" i="19"/>
  <c r="S12" i="19"/>
  <c r="Q12" i="19"/>
  <c r="O12" i="19"/>
  <c r="M12" i="19"/>
  <c r="K12" i="19"/>
  <c r="H12" i="19"/>
  <c r="C12" i="19"/>
  <c r="B12" i="19"/>
  <c r="BW11" i="19"/>
  <c r="BV11" i="19"/>
  <c r="BU11" i="19"/>
  <c r="BR11" i="19"/>
  <c r="BQ11" i="19"/>
  <c r="BP11" i="19"/>
  <c r="BA11" i="19"/>
  <c r="AX11" i="19"/>
  <c r="AV11" i="19"/>
  <c r="AH11" i="19"/>
  <c r="AD11" i="19"/>
  <c r="AB11" i="19"/>
  <c r="U11" i="19"/>
  <c r="S11" i="19"/>
  <c r="Q11" i="19"/>
  <c r="O11" i="19"/>
  <c r="M11" i="19"/>
  <c r="K11" i="19"/>
  <c r="H11" i="19"/>
  <c r="C11" i="19"/>
  <c r="B11" i="19"/>
  <c r="BW10" i="19"/>
  <c r="BV10" i="19"/>
  <c r="BU10" i="19"/>
  <c r="BR10" i="19"/>
  <c r="BQ10" i="19"/>
  <c r="BP10" i="19"/>
  <c r="BA10" i="19"/>
  <c r="AX10" i="19"/>
  <c r="AV10" i="19"/>
  <c r="AH10" i="19"/>
  <c r="AD10" i="19"/>
  <c r="AB10" i="19"/>
  <c r="U10" i="19"/>
  <c r="S10" i="19"/>
  <c r="Q10" i="19"/>
  <c r="O10" i="19"/>
  <c r="M10" i="19"/>
  <c r="K10" i="19"/>
  <c r="H10" i="19"/>
  <c r="C10" i="19"/>
  <c r="B10" i="19"/>
  <c r="BW9" i="19"/>
  <c r="BV9" i="19"/>
  <c r="BU9" i="19"/>
  <c r="BR9" i="19"/>
  <c r="BQ9" i="19"/>
  <c r="BP9" i="19"/>
  <c r="BA9" i="19"/>
  <c r="AX9" i="19"/>
  <c r="AV9" i="19"/>
  <c r="AH9" i="19"/>
  <c r="AD9" i="19"/>
  <c r="AB9" i="19"/>
  <c r="Y9" i="19"/>
  <c r="X9" i="19"/>
  <c r="U9" i="19"/>
  <c r="S9" i="19"/>
  <c r="Q9" i="19"/>
  <c r="O9" i="19"/>
  <c r="M9" i="19"/>
  <c r="K9" i="19"/>
  <c r="H9" i="19"/>
  <c r="G9" i="19"/>
  <c r="F9" i="19"/>
  <c r="C9" i="19"/>
  <c r="B9" i="19"/>
  <c r="BW8" i="19"/>
  <c r="BV8" i="19"/>
  <c r="BU8" i="19"/>
  <c r="BR8" i="19"/>
  <c r="BQ8" i="19"/>
  <c r="BP8" i="19"/>
  <c r="BA8" i="19"/>
  <c r="AX8" i="19"/>
  <c r="AV8" i="19"/>
  <c r="AH8" i="19"/>
  <c r="AD8" i="19"/>
  <c r="AB8" i="19"/>
  <c r="U8" i="19"/>
  <c r="S8" i="19"/>
  <c r="Q8" i="19"/>
  <c r="O8" i="19"/>
  <c r="M8" i="19"/>
  <c r="K8" i="19"/>
  <c r="H8" i="19"/>
  <c r="G8" i="19"/>
  <c r="F8" i="19"/>
  <c r="C8" i="19"/>
  <c r="B8" i="19"/>
  <c r="BW7" i="19"/>
  <c r="BV7" i="19"/>
  <c r="BU7" i="19"/>
  <c r="BR7" i="19"/>
  <c r="BQ7" i="19"/>
  <c r="BP7" i="19"/>
  <c r="BA7" i="19"/>
  <c r="AX7" i="19"/>
  <c r="AV7" i="19"/>
  <c r="AH7" i="19"/>
  <c r="AD7" i="19"/>
  <c r="AB7" i="19"/>
  <c r="U7" i="19"/>
  <c r="S7" i="19"/>
  <c r="Q7" i="19"/>
  <c r="O7" i="19"/>
  <c r="M7" i="19"/>
  <c r="K7" i="19"/>
  <c r="H7" i="19"/>
  <c r="G7" i="19"/>
  <c r="F7" i="19"/>
  <c r="C7" i="19"/>
  <c r="B7" i="19"/>
  <c r="BW6" i="19"/>
  <c r="BV6" i="19"/>
  <c r="BU6" i="19"/>
  <c r="BR6" i="19"/>
  <c r="BQ6" i="19"/>
  <c r="BP6" i="19"/>
  <c r="BA6" i="19"/>
  <c r="AX6" i="19"/>
  <c r="AV6" i="19"/>
  <c r="AH6" i="19"/>
  <c r="AD6" i="19"/>
  <c r="AB6" i="19"/>
  <c r="U6" i="19"/>
  <c r="S6" i="19"/>
  <c r="Q6" i="19"/>
  <c r="O6" i="19"/>
  <c r="M6" i="19"/>
  <c r="K6" i="19"/>
  <c r="H6" i="19"/>
  <c r="G6" i="19"/>
  <c r="F6" i="19"/>
  <c r="C6" i="19"/>
  <c r="B6" i="19"/>
  <c r="BW5" i="19"/>
  <c r="BV5" i="19"/>
  <c r="BU5" i="19"/>
  <c r="BR5" i="19"/>
  <c r="BQ5" i="19"/>
  <c r="BP5" i="19"/>
  <c r="BA5" i="19"/>
  <c r="AX5" i="19"/>
  <c r="AV5" i="19"/>
  <c r="AH5" i="19"/>
  <c r="AD5" i="19"/>
  <c r="AB5" i="19"/>
  <c r="Y5" i="19"/>
  <c r="X5" i="19"/>
  <c r="U5" i="19"/>
  <c r="S5" i="19"/>
  <c r="Q5" i="19"/>
  <c r="O5" i="19"/>
  <c r="M5" i="19"/>
  <c r="K5" i="19"/>
  <c r="H5" i="19"/>
  <c r="G5" i="19"/>
  <c r="F5" i="19"/>
  <c r="C5" i="19"/>
  <c r="B5" i="19"/>
  <c r="BW14" i="20"/>
  <c r="BV14" i="20"/>
  <c r="BU14" i="20"/>
  <c r="BR14" i="20"/>
  <c r="BQ14" i="20"/>
  <c r="BP14" i="20"/>
  <c r="BA14" i="20"/>
  <c r="AX14" i="20"/>
  <c r="AV14" i="20"/>
  <c r="AH14" i="20"/>
  <c r="AD14" i="20"/>
  <c r="AB14" i="20"/>
  <c r="U14" i="20"/>
  <c r="S14" i="20"/>
  <c r="Q14" i="20"/>
  <c r="O14" i="20"/>
  <c r="M14" i="20"/>
  <c r="K14" i="20"/>
  <c r="H14" i="20"/>
  <c r="C14" i="20"/>
  <c r="B14" i="20"/>
  <c r="BW13" i="20"/>
  <c r="BV13" i="20"/>
  <c r="BU13" i="20"/>
  <c r="BR13" i="20"/>
  <c r="BQ13" i="20"/>
  <c r="BP13" i="20"/>
  <c r="BA13" i="20"/>
  <c r="AX13" i="20"/>
  <c r="AV13" i="20"/>
  <c r="AH13" i="20"/>
  <c r="AD13" i="20"/>
  <c r="AB13" i="20"/>
  <c r="U13" i="20"/>
  <c r="S13" i="20"/>
  <c r="Q13" i="20"/>
  <c r="O13" i="20"/>
  <c r="M13" i="20"/>
  <c r="K13" i="20"/>
  <c r="H13" i="20"/>
  <c r="C13" i="20"/>
  <c r="B13" i="20"/>
  <c r="BW12" i="20"/>
  <c r="BV12" i="20"/>
  <c r="BU12" i="20"/>
  <c r="BR12" i="20"/>
  <c r="BQ12" i="20"/>
  <c r="BP12" i="20"/>
  <c r="BA12" i="20"/>
  <c r="AX12" i="20"/>
  <c r="AV12" i="20"/>
  <c r="AH12" i="20"/>
  <c r="AD12" i="20"/>
  <c r="AB12" i="20"/>
  <c r="U12" i="20"/>
  <c r="S12" i="20"/>
  <c r="Q12" i="20"/>
  <c r="O12" i="20"/>
  <c r="M12" i="20"/>
  <c r="K12" i="20"/>
  <c r="H12" i="20"/>
  <c r="C12" i="20"/>
  <c r="B12" i="20"/>
  <c r="BW11" i="20"/>
  <c r="BV11" i="20"/>
  <c r="BU11" i="20"/>
  <c r="BR11" i="20"/>
  <c r="BQ11" i="20"/>
  <c r="BP11" i="20"/>
  <c r="BA11" i="20"/>
  <c r="AX11" i="20"/>
  <c r="AV11" i="20"/>
  <c r="AH11" i="20"/>
  <c r="AD11" i="20"/>
  <c r="AB11" i="20"/>
  <c r="U11" i="20"/>
  <c r="S11" i="20"/>
  <c r="Q11" i="20"/>
  <c r="O11" i="20"/>
  <c r="M11" i="20"/>
  <c r="K11" i="20"/>
  <c r="H11" i="20"/>
  <c r="C11" i="20"/>
  <c r="B11" i="20"/>
  <c r="BW10" i="20"/>
  <c r="BV10" i="20"/>
  <c r="BU10" i="20"/>
  <c r="BR10" i="20"/>
  <c r="BQ10" i="20"/>
  <c r="BP10" i="20"/>
  <c r="BA10" i="20"/>
  <c r="AX10" i="20"/>
  <c r="AV10" i="20"/>
  <c r="AH10" i="20"/>
  <c r="AD10" i="20"/>
  <c r="AB10" i="20"/>
  <c r="U10" i="20"/>
  <c r="S10" i="20"/>
  <c r="Q10" i="20"/>
  <c r="O10" i="20"/>
  <c r="M10" i="20"/>
  <c r="K10" i="20"/>
  <c r="H10" i="20"/>
  <c r="C10" i="20"/>
  <c r="B10" i="20"/>
  <c r="BW9" i="20"/>
  <c r="BV9" i="20"/>
  <c r="BU9" i="20"/>
  <c r="BR9" i="20"/>
  <c r="BQ9" i="20"/>
  <c r="BP9" i="20"/>
  <c r="BA9" i="20"/>
  <c r="AX9" i="20"/>
  <c r="AV9" i="20"/>
  <c r="AH9" i="20"/>
  <c r="AD9" i="20"/>
  <c r="AB9" i="20"/>
  <c r="Y9" i="20"/>
  <c r="X9" i="20"/>
  <c r="U9" i="20"/>
  <c r="S9" i="20"/>
  <c r="Q9" i="20"/>
  <c r="O9" i="20"/>
  <c r="M9" i="20"/>
  <c r="K9" i="20"/>
  <c r="H9" i="20"/>
  <c r="G9" i="20"/>
  <c r="F9" i="20"/>
  <c r="C9" i="20"/>
  <c r="B9" i="20"/>
  <c r="BW8" i="20"/>
  <c r="BV8" i="20"/>
  <c r="BU8" i="20"/>
  <c r="BR8" i="20"/>
  <c r="BQ8" i="20"/>
  <c r="BP8" i="20"/>
  <c r="BA8" i="20"/>
  <c r="AX8" i="20"/>
  <c r="AV8" i="20"/>
  <c r="AH8" i="20"/>
  <c r="AD8" i="20"/>
  <c r="AB8" i="20"/>
  <c r="U8" i="20"/>
  <c r="S8" i="20"/>
  <c r="Q8" i="20"/>
  <c r="O8" i="20"/>
  <c r="M8" i="20"/>
  <c r="K8" i="20"/>
  <c r="H8" i="20"/>
  <c r="G8" i="20"/>
  <c r="F8" i="20"/>
  <c r="C8" i="20"/>
  <c r="B8" i="20"/>
  <c r="BW7" i="20"/>
  <c r="BV7" i="20"/>
  <c r="BU7" i="20"/>
  <c r="BR7" i="20"/>
  <c r="BQ7" i="20"/>
  <c r="BP7" i="20"/>
  <c r="BA7" i="20"/>
  <c r="AX7" i="20"/>
  <c r="AV7" i="20"/>
  <c r="AH7" i="20"/>
  <c r="AD7" i="20"/>
  <c r="AB7" i="20"/>
  <c r="U7" i="20"/>
  <c r="S7" i="20"/>
  <c r="Q7" i="20"/>
  <c r="O7" i="20"/>
  <c r="M7" i="20"/>
  <c r="K7" i="20"/>
  <c r="H7" i="20"/>
  <c r="G7" i="20"/>
  <c r="F7" i="20"/>
  <c r="C7" i="20"/>
  <c r="B7" i="20"/>
  <c r="BW6" i="20"/>
  <c r="BV6" i="20"/>
  <c r="BU6" i="20"/>
  <c r="BR6" i="20"/>
  <c r="BQ6" i="20"/>
  <c r="BP6" i="20"/>
  <c r="BA6" i="20"/>
  <c r="AX6" i="20"/>
  <c r="AV6" i="20"/>
  <c r="AH6" i="20"/>
  <c r="AD6" i="20"/>
  <c r="AB6" i="20"/>
  <c r="U6" i="20"/>
  <c r="S6" i="20"/>
  <c r="Q6" i="20"/>
  <c r="O6" i="20"/>
  <c r="M6" i="20"/>
  <c r="K6" i="20"/>
  <c r="H6" i="20"/>
  <c r="G6" i="20"/>
  <c r="F6" i="20"/>
  <c r="C6" i="20"/>
  <c r="B6" i="20"/>
  <c r="BW5" i="20"/>
  <c r="BV5" i="20"/>
  <c r="BU5" i="20"/>
  <c r="BR5" i="20"/>
  <c r="BQ5" i="20"/>
  <c r="BP5" i="20"/>
  <c r="BA5" i="20"/>
  <c r="AX5" i="20"/>
  <c r="AV5" i="20"/>
  <c r="AH5" i="20"/>
  <c r="AD5" i="20"/>
  <c r="AB5" i="20"/>
  <c r="Y5" i="20"/>
  <c r="X5" i="20"/>
  <c r="U5" i="20"/>
  <c r="S5" i="20"/>
  <c r="Q5" i="20"/>
  <c r="O5" i="20"/>
  <c r="M5" i="20"/>
  <c r="K5" i="20"/>
  <c r="H5" i="20"/>
  <c r="G5" i="20"/>
  <c r="F5" i="20"/>
  <c r="C5" i="20"/>
  <c r="B5" i="20"/>
  <c r="B15" i="19"/>
  <c r="C15" i="19"/>
  <c r="F15" i="19"/>
  <c r="G15" i="19"/>
  <c r="H15" i="19"/>
  <c r="K15" i="19"/>
  <c r="M15" i="19"/>
  <c r="O15" i="19"/>
  <c r="Q15" i="19"/>
  <c r="S15" i="19"/>
  <c r="U15" i="19"/>
  <c r="X15" i="19"/>
  <c r="Y15" i="19"/>
  <c r="AB15" i="19"/>
  <c r="AD15" i="19"/>
  <c r="AH15" i="19"/>
  <c r="B16" i="19"/>
  <c r="C16" i="19"/>
  <c r="F16" i="19"/>
  <c r="G16" i="19"/>
  <c r="H16" i="19"/>
  <c r="K16" i="19"/>
  <c r="M16" i="19"/>
  <c r="O16" i="19"/>
  <c r="Q16" i="19"/>
  <c r="S16" i="19"/>
  <c r="U16" i="19"/>
  <c r="X16" i="19"/>
  <c r="Y16" i="19"/>
  <c r="AB16" i="19"/>
  <c r="AD16" i="19"/>
  <c r="AH16" i="19"/>
  <c r="B17" i="19"/>
  <c r="C17" i="19"/>
  <c r="F17" i="19"/>
  <c r="G17" i="19"/>
  <c r="H17" i="19"/>
  <c r="K17" i="19"/>
  <c r="M17" i="19"/>
  <c r="O17" i="19"/>
  <c r="Q17" i="19"/>
  <c r="S17" i="19"/>
  <c r="U17" i="19"/>
  <c r="X17" i="19"/>
  <c r="Y17" i="19"/>
  <c r="AB17" i="19"/>
  <c r="AD17" i="19"/>
  <c r="AH17" i="19"/>
  <c r="B18" i="19"/>
  <c r="C18" i="19"/>
  <c r="F18" i="19"/>
  <c r="G18" i="19"/>
  <c r="H18" i="19"/>
  <c r="K18" i="19"/>
  <c r="M18" i="19"/>
  <c r="O18" i="19"/>
  <c r="Q18" i="19"/>
  <c r="S18" i="19"/>
  <c r="U18" i="19"/>
  <c r="X18" i="19"/>
  <c r="Y18" i="19"/>
  <c r="AB18" i="19"/>
  <c r="AD18" i="19"/>
  <c r="AH18" i="19"/>
  <c r="B19" i="19"/>
  <c r="C19" i="19"/>
  <c r="F19" i="19"/>
  <c r="G19" i="19"/>
  <c r="H19" i="19"/>
  <c r="K19" i="19"/>
  <c r="M19" i="19"/>
  <c r="O19" i="19"/>
  <c r="Q19" i="19"/>
  <c r="S19" i="19"/>
  <c r="U19" i="19"/>
  <c r="X19" i="19"/>
  <c r="Y19" i="19"/>
  <c r="AB19" i="19"/>
  <c r="AD19" i="19"/>
  <c r="AH19" i="19"/>
  <c r="B20" i="19"/>
  <c r="C20" i="19"/>
  <c r="F20" i="19"/>
  <c r="G20" i="19"/>
  <c r="H20" i="19"/>
  <c r="K20" i="19"/>
  <c r="M20" i="19"/>
  <c r="O20" i="19"/>
  <c r="Q20" i="19"/>
  <c r="S20" i="19"/>
  <c r="U20" i="19"/>
  <c r="X20" i="19"/>
  <c r="Y20" i="19"/>
  <c r="AB20" i="19"/>
  <c r="AD20" i="19"/>
  <c r="AH20" i="19"/>
  <c r="B21" i="19"/>
  <c r="C21" i="19"/>
  <c r="F21" i="19"/>
  <c r="G21" i="19"/>
  <c r="H21" i="19"/>
  <c r="K21" i="19"/>
  <c r="M21" i="19"/>
  <c r="O21" i="19"/>
  <c r="Q21" i="19"/>
  <c r="S21" i="19"/>
  <c r="U21" i="19"/>
  <c r="X21" i="19"/>
  <c r="Y21" i="19"/>
  <c r="AB21" i="19"/>
  <c r="AD21" i="19"/>
  <c r="AH21" i="19"/>
  <c r="B22" i="19"/>
  <c r="C22" i="19"/>
  <c r="F22" i="19"/>
  <c r="G22" i="19"/>
  <c r="H22" i="19"/>
  <c r="K22" i="19"/>
  <c r="M22" i="19"/>
  <c r="O22" i="19"/>
  <c r="Q22" i="19"/>
  <c r="S22" i="19"/>
  <c r="U22" i="19"/>
  <c r="X22" i="19"/>
  <c r="Y22" i="19"/>
  <c r="AB22" i="19"/>
  <c r="AD22" i="19"/>
  <c r="AH22" i="19"/>
  <c r="B23" i="19"/>
  <c r="C23" i="19"/>
  <c r="F23" i="19"/>
  <c r="G23" i="19"/>
  <c r="H23" i="19"/>
  <c r="K23" i="19"/>
  <c r="M23" i="19"/>
  <c r="O23" i="19"/>
  <c r="Q23" i="19"/>
  <c r="S23" i="19"/>
  <c r="U23" i="19"/>
  <c r="X23" i="19"/>
  <c r="Y23" i="19"/>
  <c r="AB23" i="19"/>
  <c r="AD23" i="19"/>
  <c r="AH23" i="19"/>
  <c r="B24" i="19"/>
  <c r="C24" i="19"/>
  <c r="H24" i="19"/>
  <c r="K24" i="19"/>
  <c r="M24" i="19"/>
  <c r="O24" i="19"/>
  <c r="Q24" i="19"/>
  <c r="S24" i="19"/>
  <c r="U24" i="19"/>
  <c r="AB24" i="19"/>
  <c r="AD24" i="19"/>
  <c r="AH24" i="19"/>
  <c r="B25" i="19"/>
  <c r="C25" i="19"/>
  <c r="H25" i="19"/>
  <c r="K25" i="19"/>
  <c r="M25" i="19"/>
  <c r="O25" i="19"/>
  <c r="Q25" i="19"/>
  <c r="S25" i="19"/>
  <c r="U25" i="19"/>
  <c r="AB25" i="19"/>
  <c r="AD25" i="19"/>
  <c r="AH25" i="19"/>
  <c r="B26" i="19"/>
  <c r="C26" i="19"/>
  <c r="H26" i="19"/>
  <c r="K26" i="19"/>
  <c r="M26" i="19"/>
  <c r="O26" i="19"/>
  <c r="Q26" i="19"/>
  <c r="S26" i="19"/>
  <c r="U26" i="19"/>
  <c r="AB26" i="19"/>
  <c r="AD26" i="19"/>
  <c r="AH26" i="19"/>
  <c r="B27" i="19"/>
  <c r="C27" i="19"/>
  <c r="F27" i="19"/>
  <c r="G27" i="19"/>
  <c r="H27" i="19"/>
  <c r="K27" i="19"/>
  <c r="M27" i="19"/>
  <c r="O27" i="19"/>
  <c r="Q27" i="19"/>
  <c r="S27" i="19"/>
  <c r="U27" i="19"/>
  <c r="X27" i="19"/>
  <c r="Y27" i="19"/>
  <c r="AB27" i="19"/>
  <c r="AD27" i="19"/>
  <c r="AH27" i="19"/>
  <c r="B28" i="19"/>
  <c r="C28" i="19"/>
  <c r="F28" i="19"/>
  <c r="G28" i="19"/>
  <c r="H28" i="19"/>
  <c r="K28" i="19"/>
  <c r="M28" i="19"/>
  <c r="O28" i="19"/>
  <c r="Q28" i="19"/>
  <c r="S28" i="19"/>
  <c r="U28" i="19"/>
  <c r="X28" i="19"/>
  <c r="Y28" i="19"/>
  <c r="AB28" i="19"/>
  <c r="AD28" i="19"/>
  <c r="AH28" i="19"/>
  <c r="B29" i="19"/>
  <c r="C29" i="19"/>
  <c r="F29" i="19"/>
  <c r="G29" i="19"/>
  <c r="H29" i="19"/>
  <c r="K29" i="19"/>
  <c r="M29" i="19"/>
  <c r="O29" i="19"/>
  <c r="Q29" i="19"/>
  <c r="S29" i="19"/>
  <c r="U29" i="19"/>
  <c r="X29" i="19"/>
  <c r="Y29" i="19"/>
  <c r="AB29" i="19"/>
  <c r="AD29" i="19"/>
  <c r="AH29" i="19"/>
  <c r="B30" i="19"/>
  <c r="C30" i="19"/>
  <c r="F30" i="19"/>
  <c r="G30" i="19"/>
  <c r="H30" i="19"/>
  <c r="K30" i="19"/>
  <c r="M30" i="19"/>
  <c r="O30" i="19"/>
  <c r="Q30" i="19"/>
  <c r="S30" i="19"/>
  <c r="U30" i="19"/>
  <c r="X30" i="19"/>
  <c r="Y30" i="19"/>
  <c r="AB30" i="19"/>
  <c r="AD30" i="19"/>
  <c r="AH30" i="19"/>
  <c r="B31" i="19"/>
  <c r="C31" i="19"/>
  <c r="F31" i="19"/>
  <c r="G31" i="19"/>
  <c r="H31" i="19"/>
  <c r="K31" i="19"/>
  <c r="M31" i="19"/>
  <c r="O31" i="19"/>
  <c r="Q31" i="19"/>
  <c r="S31" i="19"/>
  <c r="U31" i="19"/>
  <c r="X31" i="19"/>
  <c r="Y31" i="19"/>
  <c r="AB31" i="19"/>
  <c r="AD31" i="19"/>
  <c r="AH31" i="19"/>
  <c r="B32" i="19"/>
  <c r="C32" i="19"/>
  <c r="H32" i="19"/>
  <c r="K32" i="19"/>
  <c r="M32" i="19"/>
  <c r="O32" i="19"/>
  <c r="Q32" i="19"/>
  <c r="S32" i="19"/>
  <c r="U32" i="19"/>
  <c r="AB32" i="19"/>
  <c r="AD32" i="19"/>
  <c r="AH32" i="19"/>
  <c r="B33" i="19"/>
  <c r="C33" i="19"/>
  <c r="H33" i="19"/>
  <c r="K33" i="19"/>
  <c r="M33" i="19"/>
  <c r="O33" i="19"/>
  <c r="Q33" i="19"/>
  <c r="S33" i="19"/>
  <c r="U33" i="19"/>
  <c r="AB33" i="19"/>
  <c r="AD33" i="19"/>
  <c r="AH33" i="19"/>
  <c r="B34" i="19"/>
  <c r="C34" i="19"/>
  <c r="H34" i="19"/>
  <c r="K34" i="19"/>
  <c r="M34" i="19"/>
  <c r="O34" i="19"/>
  <c r="Q34" i="19"/>
  <c r="S34" i="19"/>
  <c r="U34" i="19"/>
  <c r="AB34" i="19"/>
  <c r="AD34" i="19"/>
  <c r="AH34" i="19"/>
  <c r="B35" i="19"/>
  <c r="C35" i="19"/>
  <c r="F35" i="19"/>
  <c r="G35" i="19"/>
  <c r="H35" i="19"/>
  <c r="K35" i="19"/>
  <c r="M35" i="19"/>
  <c r="O35" i="19"/>
  <c r="Q35" i="19"/>
  <c r="S35" i="19"/>
  <c r="U35" i="19"/>
  <c r="X35" i="19"/>
  <c r="Y35" i="19"/>
  <c r="AB35" i="19"/>
  <c r="AD35" i="19"/>
  <c r="AH35" i="19"/>
  <c r="B36" i="19"/>
  <c r="C36" i="19"/>
  <c r="F36" i="19"/>
  <c r="G36" i="19"/>
  <c r="H36" i="19"/>
  <c r="K36" i="19"/>
  <c r="M36" i="19"/>
  <c r="O36" i="19"/>
  <c r="Q36" i="19"/>
  <c r="S36" i="19"/>
  <c r="U36" i="19"/>
  <c r="X36" i="19"/>
  <c r="Y36" i="19"/>
  <c r="AB36" i="19"/>
  <c r="AD36" i="19"/>
  <c r="AH36" i="19"/>
  <c r="B37" i="19"/>
  <c r="C37" i="19"/>
  <c r="F37" i="19"/>
  <c r="G37" i="19"/>
  <c r="H37" i="19"/>
  <c r="K37" i="19"/>
  <c r="M37" i="19"/>
  <c r="O37" i="19"/>
  <c r="Q37" i="19"/>
  <c r="S37" i="19"/>
  <c r="U37" i="19"/>
  <c r="X37" i="19"/>
  <c r="Y37" i="19"/>
  <c r="AB37" i="19"/>
  <c r="AD37" i="19"/>
  <c r="AH37" i="19"/>
  <c r="B38" i="19"/>
  <c r="C38" i="19"/>
  <c r="F38" i="19"/>
  <c r="G38" i="19"/>
  <c r="H38" i="19"/>
  <c r="K38" i="19"/>
  <c r="M38" i="19"/>
  <c r="O38" i="19"/>
  <c r="Q38" i="19"/>
  <c r="S38" i="19"/>
  <c r="U38" i="19"/>
  <c r="X38" i="19"/>
  <c r="Y38" i="19"/>
  <c r="AB38" i="19"/>
  <c r="AD38" i="19"/>
  <c r="AH38" i="19"/>
  <c r="B39" i="19"/>
  <c r="C39" i="19"/>
  <c r="F39" i="19"/>
  <c r="G39" i="19"/>
  <c r="H39" i="19"/>
  <c r="K39" i="19"/>
  <c r="M39" i="19"/>
  <c r="O39" i="19"/>
  <c r="Q39" i="19"/>
  <c r="S39" i="19"/>
  <c r="U39" i="19"/>
  <c r="X39" i="19"/>
  <c r="Y39" i="19"/>
  <c r="AB39" i="19"/>
  <c r="AD39" i="19"/>
  <c r="AH39" i="19"/>
  <c r="B40" i="19"/>
  <c r="C40" i="19"/>
  <c r="H40" i="19"/>
  <c r="K40" i="19"/>
  <c r="M40" i="19"/>
  <c r="O40" i="19"/>
  <c r="Q40" i="19"/>
  <c r="S40" i="19"/>
  <c r="U40" i="19"/>
  <c r="AB40" i="19"/>
  <c r="AD40" i="19"/>
  <c r="AH40" i="19"/>
  <c r="B41" i="19"/>
  <c r="C41" i="19"/>
  <c r="H41" i="19"/>
  <c r="K41" i="19"/>
  <c r="M41" i="19"/>
  <c r="O41" i="19"/>
  <c r="Q41" i="19"/>
  <c r="S41" i="19"/>
  <c r="U41" i="19"/>
  <c r="AB41" i="19"/>
  <c r="AD41" i="19"/>
  <c r="AH41" i="19"/>
  <c r="B42" i="19"/>
  <c r="C42" i="19"/>
  <c r="H42" i="19"/>
  <c r="K42" i="19"/>
  <c r="M42" i="19"/>
  <c r="O42" i="19"/>
  <c r="Q42" i="19"/>
  <c r="S42" i="19"/>
  <c r="U42" i="19"/>
  <c r="AB42" i="19"/>
  <c r="AD42" i="19"/>
  <c r="AH42" i="19"/>
  <c r="B43" i="19"/>
  <c r="C43" i="19"/>
  <c r="F43" i="19"/>
  <c r="G43" i="19"/>
  <c r="H43" i="19"/>
  <c r="K43" i="19"/>
  <c r="M43" i="19"/>
  <c r="O43" i="19"/>
  <c r="Q43" i="19"/>
  <c r="S43" i="19"/>
  <c r="U43" i="19"/>
  <c r="X43" i="19"/>
  <c r="Y43" i="19"/>
  <c r="AB43" i="19"/>
  <c r="AD43" i="19"/>
  <c r="AH43" i="19"/>
  <c r="B44" i="19"/>
  <c r="C44" i="19"/>
  <c r="F44" i="19"/>
  <c r="G44" i="19"/>
  <c r="H44" i="19"/>
  <c r="K44" i="19"/>
  <c r="M44" i="19"/>
  <c r="O44" i="19"/>
  <c r="Q44" i="19"/>
  <c r="S44" i="19"/>
  <c r="U44" i="19"/>
  <c r="X44" i="19"/>
  <c r="Y44" i="19"/>
  <c r="AB44" i="19"/>
  <c r="AD44" i="19"/>
  <c r="AH44" i="19"/>
  <c r="B46" i="19"/>
  <c r="C46" i="19"/>
  <c r="H46" i="19"/>
  <c r="K46" i="19"/>
  <c r="M46" i="19"/>
  <c r="O46" i="19"/>
  <c r="Q46" i="19"/>
  <c r="S46" i="19"/>
  <c r="U46" i="19"/>
  <c r="AB46" i="19"/>
  <c r="AD46" i="19"/>
  <c r="AH46" i="19"/>
  <c r="B47" i="19"/>
  <c r="C47" i="19"/>
  <c r="H47" i="19"/>
  <c r="K47" i="19"/>
  <c r="M47" i="19"/>
  <c r="O47" i="19"/>
  <c r="Q47" i="19"/>
  <c r="S47" i="19"/>
  <c r="U47" i="19"/>
  <c r="AB47" i="19"/>
  <c r="AD47" i="19"/>
  <c r="AH47" i="19"/>
  <c r="B48" i="19"/>
  <c r="C48" i="19"/>
  <c r="H48" i="19"/>
  <c r="K48" i="19"/>
  <c r="M48" i="19"/>
  <c r="O48" i="19"/>
  <c r="Q48" i="19"/>
  <c r="S48" i="19"/>
  <c r="U48" i="19"/>
  <c r="AB48" i="19"/>
  <c r="AD48" i="19"/>
  <c r="AH48" i="19"/>
  <c r="BW24" i="20"/>
  <c r="BV24" i="20"/>
  <c r="BU24" i="20"/>
  <c r="BR24" i="20"/>
  <c r="BQ24" i="20"/>
  <c r="BP24" i="20"/>
  <c r="BA24" i="20"/>
  <c r="AX24" i="20"/>
  <c r="AV24" i="20"/>
  <c r="AH24" i="20"/>
  <c r="AD24" i="20"/>
  <c r="AB24" i="20"/>
  <c r="U24" i="20"/>
  <c r="S24" i="20"/>
  <c r="Q24" i="20"/>
  <c r="O24" i="20"/>
  <c r="M24" i="20"/>
  <c r="K24" i="20"/>
  <c r="H24" i="20"/>
  <c r="C24" i="20"/>
  <c r="B24" i="20"/>
  <c r="BW23" i="20"/>
  <c r="BV23" i="20"/>
  <c r="BU23" i="20"/>
  <c r="BR23" i="20"/>
  <c r="BQ23" i="20"/>
  <c r="BP23" i="20"/>
  <c r="BA23" i="20"/>
  <c r="AX23" i="20"/>
  <c r="AV23" i="20"/>
  <c r="AH23" i="20"/>
  <c r="AD23" i="20"/>
  <c r="AB23" i="20"/>
  <c r="U23" i="20"/>
  <c r="S23" i="20"/>
  <c r="Q23" i="20"/>
  <c r="O23" i="20"/>
  <c r="M23" i="20"/>
  <c r="K23" i="20"/>
  <c r="H23" i="20"/>
  <c r="C23" i="20"/>
  <c r="B23" i="20"/>
  <c r="BW22" i="20"/>
  <c r="BV22" i="20"/>
  <c r="BU22" i="20"/>
  <c r="BR22" i="20"/>
  <c r="BQ22" i="20"/>
  <c r="BP22" i="20"/>
  <c r="BA22" i="20"/>
  <c r="AX22" i="20"/>
  <c r="AV22" i="20"/>
  <c r="AH22" i="20"/>
  <c r="AD22" i="20"/>
  <c r="AB22" i="20"/>
  <c r="U22" i="20"/>
  <c r="S22" i="20"/>
  <c r="Q22" i="20"/>
  <c r="O22" i="20"/>
  <c r="M22" i="20"/>
  <c r="K22" i="20"/>
  <c r="H22" i="20"/>
  <c r="C22" i="20"/>
  <c r="B22" i="20"/>
  <c r="BW21" i="20"/>
  <c r="BV21" i="20"/>
  <c r="BU21" i="20"/>
  <c r="BR21" i="20"/>
  <c r="BQ21" i="20"/>
  <c r="BP21" i="20"/>
  <c r="BA21" i="20"/>
  <c r="AX21" i="20"/>
  <c r="AV21" i="20"/>
  <c r="AH21" i="20"/>
  <c r="AD21" i="20"/>
  <c r="AB21" i="20"/>
  <c r="Y21" i="20"/>
  <c r="X21" i="20"/>
  <c r="U21" i="20"/>
  <c r="S21" i="20"/>
  <c r="Q21" i="20"/>
  <c r="O21" i="20"/>
  <c r="M21" i="20"/>
  <c r="K21" i="20"/>
  <c r="H21" i="20"/>
  <c r="G21" i="20"/>
  <c r="F21" i="20"/>
  <c r="C21" i="20"/>
  <c r="B21" i="20"/>
  <c r="BW60" i="20"/>
  <c r="BV60" i="20"/>
  <c r="BU60" i="20"/>
  <c r="BR60" i="20"/>
  <c r="BQ60" i="20"/>
  <c r="BP60" i="20"/>
  <c r="BA60" i="20"/>
  <c r="AX60" i="20"/>
  <c r="AV60" i="20"/>
  <c r="AH60" i="20"/>
  <c r="AD60" i="20"/>
  <c r="AB60" i="20"/>
  <c r="U60" i="20"/>
  <c r="S60" i="20"/>
  <c r="Q60" i="20"/>
  <c r="O60" i="20"/>
  <c r="M60" i="20"/>
  <c r="K60" i="20"/>
  <c r="H60" i="20"/>
  <c r="C60" i="20"/>
  <c r="B60" i="20"/>
  <c r="BW59" i="20"/>
  <c r="BV59" i="20"/>
  <c r="BU59" i="20"/>
  <c r="BR59" i="20"/>
  <c r="BQ59" i="20"/>
  <c r="BP59" i="20"/>
  <c r="BA59" i="20"/>
  <c r="AX59" i="20"/>
  <c r="AV59" i="20"/>
  <c r="AH59" i="20"/>
  <c r="AD59" i="20"/>
  <c r="AB59" i="20"/>
  <c r="U59" i="20"/>
  <c r="S59" i="20"/>
  <c r="Q59" i="20"/>
  <c r="O59" i="20"/>
  <c r="M59" i="20"/>
  <c r="K59" i="20"/>
  <c r="H59" i="20"/>
  <c r="C59" i="20"/>
  <c r="B59" i="20"/>
  <c r="BW58" i="20"/>
  <c r="BV58" i="20"/>
  <c r="BU58" i="20"/>
  <c r="BR58" i="20"/>
  <c r="BQ58" i="20"/>
  <c r="BP58" i="20"/>
  <c r="BA58" i="20"/>
  <c r="AX58" i="20"/>
  <c r="AV58" i="20"/>
  <c r="AH58" i="20"/>
  <c r="AD58" i="20"/>
  <c r="AB58" i="20"/>
  <c r="Y58" i="20"/>
  <c r="X58" i="20"/>
  <c r="U58" i="20"/>
  <c r="S58" i="20"/>
  <c r="Q58" i="20"/>
  <c r="O58" i="20"/>
  <c r="M58" i="20"/>
  <c r="K58" i="20"/>
  <c r="H58" i="20"/>
  <c r="G58" i="20"/>
  <c r="F58" i="20"/>
  <c r="C58" i="20"/>
  <c r="B58" i="20"/>
  <c r="BW47" i="20"/>
  <c r="BV47" i="20"/>
  <c r="BU47" i="20"/>
  <c r="BR47" i="20"/>
  <c r="BQ47" i="20"/>
  <c r="BP47" i="20"/>
  <c r="BA47" i="20"/>
  <c r="AX47" i="20"/>
  <c r="AV47" i="20"/>
  <c r="AH47" i="20"/>
  <c r="AD47" i="20"/>
  <c r="AB47" i="20"/>
  <c r="U47" i="20"/>
  <c r="S47" i="20"/>
  <c r="Q47" i="20"/>
  <c r="O47" i="20"/>
  <c r="M47" i="20"/>
  <c r="K47" i="20"/>
  <c r="H47" i="20"/>
  <c r="C47" i="20"/>
  <c r="B47" i="20"/>
  <c r="BW46" i="20"/>
  <c r="BV46" i="20"/>
  <c r="BU46" i="20"/>
  <c r="BR46" i="20"/>
  <c r="BQ46" i="20"/>
  <c r="BP46" i="20"/>
  <c r="BA46" i="20"/>
  <c r="AX46" i="20"/>
  <c r="AV46" i="20"/>
  <c r="AH46" i="20"/>
  <c r="AD46" i="20"/>
  <c r="AB46" i="20"/>
  <c r="U46" i="20"/>
  <c r="S46" i="20"/>
  <c r="Q46" i="20"/>
  <c r="O46" i="20"/>
  <c r="M46" i="20"/>
  <c r="K46" i="20"/>
  <c r="H46" i="20"/>
  <c r="C46" i="20"/>
  <c r="B46" i="20"/>
  <c r="BW45" i="20"/>
  <c r="BV45" i="20"/>
  <c r="BU45" i="20"/>
  <c r="BR45" i="20"/>
  <c r="BQ45" i="20"/>
  <c r="BP45" i="20"/>
  <c r="BA45" i="20"/>
  <c r="AX45" i="20"/>
  <c r="AV45" i="20"/>
  <c r="AH45" i="20"/>
  <c r="AD45" i="20"/>
  <c r="AB45" i="20"/>
  <c r="U45" i="20"/>
  <c r="S45" i="20"/>
  <c r="Q45" i="20"/>
  <c r="O45" i="20"/>
  <c r="M45" i="20"/>
  <c r="K45" i="20"/>
  <c r="H45" i="20"/>
  <c r="C45" i="20"/>
  <c r="B45" i="20"/>
  <c r="BW44" i="20"/>
  <c r="BV44" i="20"/>
  <c r="BU44" i="20"/>
  <c r="BR44" i="20"/>
  <c r="BQ44" i="20"/>
  <c r="BP44" i="20"/>
  <c r="BA44" i="20"/>
  <c r="AX44" i="20"/>
  <c r="AV44" i="20"/>
  <c r="AH44" i="20"/>
  <c r="AD44" i="20"/>
  <c r="AB44" i="20"/>
  <c r="Y44" i="20"/>
  <c r="X44" i="20"/>
  <c r="U44" i="20"/>
  <c r="S44" i="20"/>
  <c r="Q44" i="20"/>
  <c r="O44" i="20"/>
  <c r="M44" i="20"/>
  <c r="K44" i="20"/>
  <c r="H44" i="20"/>
  <c r="G44" i="20"/>
  <c r="F44" i="20"/>
  <c r="C44" i="20"/>
  <c r="B44" i="20"/>
  <c r="BW35" i="20"/>
  <c r="BV35" i="20"/>
  <c r="BU35" i="20"/>
  <c r="BR35" i="20"/>
  <c r="BQ35" i="20"/>
  <c r="BP35" i="20"/>
  <c r="BA35" i="20"/>
  <c r="AX35" i="20"/>
  <c r="AV35" i="20"/>
  <c r="AH35" i="20"/>
  <c r="AD35" i="20"/>
  <c r="AB35" i="20"/>
  <c r="U35" i="20"/>
  <c r="S35" i="20"/>
  <c r="Q35" i="20"/>
  <c r="O35" i="20"/>
  <c r="M35" i="20"/>
  <c r="K35" i="20"/>
  <c r="H35" i="20"/>
  <c r="C35" i="20"/>
  <c r="B35" i="20"/>
  <c r="BW34" i="20"/>
  <c r="BV34" i="20"/>
  <c r="BU34" i="20"/>
  <c r="BR34" i="20"/>
  <c r="BQ34" i="20"/>
  <c r="BP34" i="20"/>
  <c r="BA34" i="20"/>
  <c r="AX34" i="20"/>
  <c r="AV34" i="20"/>
  <c r="AH34" i="20"/>
  <c r="AD34" i="20"/>
  <c r="AB34" i="20"/>
  <c r="U34" i="20"/>
  <c r="S34" i="20"/>
  <c r="Q34" i="20"/>
  <c r="O34" i="20"/>
  <c r="M34" i="20"/>
  <c r="K34" i="20"/>
  <c r="H34" i="20"/>
  <c r="C34" i="20"/>
  <c r="B34" i="20"/>
  <c r="BW33" i="20"/>
  <c r="BV33" i="20"/>
  <c r="BU33" i="20"/>
  <c r="BR33" i="20"/>
  <c r="BQ33" i="20"/>
  <c r="BP33" i="20"/>
  <c r="BA33" i="20"/>
  <c r="AX33" i="20"/>
  <c r="AV33" i="20"/>
  <c r="AH33" i="20"/>
  <c r="AD33" i="20"/>
  <c r="AB33" i="20"/>
  <c r="U33" i="20"/>
  <c r="S33" i="20"/>
  <c r="Q33" i="20"/>
  <c r="O33" i="20"/>
  <c r="M33" i="20"/>
  <c r="K33" i="20"/>
  <c r="H33" i="20"/>
  <c r="C33" i="20"/>
  <c r="B33" i="20"/>
  <c r="BW32" i="20"/>
  <c r="BV32" i="20"/>
  <c r="BU32" i="20"/>
  <c r="BR32" i="20"/>
  <c r="BQ32" i="20"/>
  <c r="BP32" i="20"/>
  <c r="BA32" i="20"/>
  <c r="AX32" i="20"/>
  <c r="AV32" i="20"/>
  <c r="AH32" i="20"/>
  <c r="AD32" i="20"/>
  <c r="AB32" i="20"/>
  <c r="Y32" i="20"/>
  <c r="X32" i="20"/>
  <c r="U32" i="20"/>
  <c r="S32" i="20"/>
  <c r="Q32" i="20"/>
  <c r="O32" i="20"/>
  <c r="M32" i="20"/>
  <c r="K32" i="20"/>
  <c r="H32" i="20"/>
  <c r="G32" i="20"/>
  <c r="F32" i="20"/>
  <c r="C32" i="20"/>
  <c r="B32" i="20"/>
  <c r="BW42" i="19"/>
  <c r="BV42" i="19"/>
  <c r="BU42" i="19"/>
  <c r="BR42" i="19"/>
  <c r="BQ42" i="19"/>
  <c r="BP42" i="19"/>
  <c r="BA42" i="19"/>
  <c r="AX42" i="19"/>
  <c r="AV42" i="19"/>
  <c r="BW41" i="19"/>
  <c r="BV41" i="19"/>
  <c r="BU41" i="19"/>
  <c r="BR41" i="19"/>
  <c r="BQ41" i="19"/>
  <c r="BP41" i="19"/>
  <c r="BA41" i="19"/>
  <c r="AX41" i="19"/>
  <c r="AV41" i="19"/>
  <c r="BW40" i="19"/>
  <c r="BV40" i="19"/>
  <c r="BU40" i="19"/>
  <c r="BR40" i="19"/>
  <c r="BQ40" i="19"/>
  <c r="BP40" i="19"/>
  <c r="BA40" i="19"/>
  <c r="AX40" i="19"/>
  <c r="AV40" i="19"/>
  <c r="BW39" i="19"/>
  <c r="BV39" i="19"/>
  <c r="BU39" i="19"/>
  <c r="BR39" i="19"/>
  <c r="BQ39" i="19"/>
  <c r="BP39" i="19"/>
  <c r="BA39" i="19"/>
  <c r="AX39" i="19"/>
  <c r="AV39" i="19"/>
  <c r="BW48" i="19"/>
  <c r="BV48" i="19"/>
  <c r="BU48" i="19"/>
  <c r="BR48" i="19"/>
  <c r="BQ48" i="19"/>
  <c r="BP48" i="19"/>
  <c r="BA48" i="19"/>
  <c r="AX48" i="19"/>
  <c r="AV48" i="19"/>
  <c r="BW47" i="19"/>
  <c r="BV47" i="19"/>
  <c r="BU47" i="19"/>
  <c r="BR47" i="19"/>
  <c r="BQ47" i="19"/>
  <c r="BP47" i="19"/>
  <c r="BA47" i="19"/>
  <c r="AX47" i="19"/>
  <c r="AV47" i="19"/>
  <c r="BW46" i="19"/>
  <c r="BV46" i="19"/>
  <c r="BU46" i="19"/>
  <c r="BR46" i="19"/>
  <c r="BQ46" i="19"/>
  <c r="BP46" i="19"/>
  <c r="BA46" i="19"/>
  <c r="AX46" i="19"/>
  <c r="AV46" i="19"/>
  <c r="BW34" i="19"/>
  <c r="BV34" i="19"/>
  <c r="BU34" i="19"/>
  <c r="BR34" i="19"/>
  <c r="BQ34" i="19"/>
  <c r="BP34" i="19"/>
  <c r="BA34" i="19"/>
  <c r="AX34" i="19"/>
  <c r="AV34" i="19"/>
  <c r="BW33" i="19"/>
  <c r="BV33" i="19"/>
  <c r="BU33" i="19"/>
  <c r="BR33" i="19"/>
  <c r="BQ33" i="19"/>
  <c r="BP33" i="19"/>
  <c r="BA33" i="19"/>
  <c r="AX33" i="19"/>
  <c r="AV33" i="19"/>
  <c r="BW32" i="19"/>
  <c r="BV32" i="19"/>
  <c r="BU32" i="19"/>
  <c r="BR32" i="19"/>
  <c r="BQ32" i="19"/>
  <c r="BP32" i="19"/>
  <c r="BA32" i="19"/>
  <c r="AX32" i="19"/>
  <c r="AV32" i="19"/>
  <c r="BW31" i="19"/>
  <c r="BV31" i="19"/>
  <c r="BU31" i="19"/>
  <c r="BR31" i="19"/>
  <c r="BQ31" i="19"/>
  <c r="BP31" i="19"/>
  <c r="BA31" i="19"/>
  <c r="AX31" i="19"/>
  <c r="AV31" i="19"/>
  <c r="BW26" i="19"/>
  <c r="BV26" i="19"/>
  <c r="BU26" i="19"/>
  <c r="BR26" i="19"/>
  <c r="BQ26" i="19"/>
  <c r="BP26" i="19"/>
  <c r="BA26" i="19"/>
  <c r="AX26" i="19"/>
  <c r="AV26" i="19"/>
  <c r="BW25" i="19"/>
  <c r="BV25" i="19"/>
  <c r="BU25" i="19"/>
  <c r="BR25" i="19"/>
  <c r="BQ25" i="19"/>
  <c r="BP25" i="19"/>
  <c r="BA25" i="19"/>
  <c r="AX25" i="19"/>
  <c r="AV25" i="19"/>
  <c r="BW24" i="19"/>
  <c r="BV24" i="19"/>
  <c r="BU24" i="19"/>
  <c r="BR24" i="19"/>
  <c r="BQ24" i="19"/>
  <c r="BP24" i="19"/>
  <c r="BA24" i="19"/>
  <c r="AX24" i="19"/>
  <c r="AV24" i="19"/>
  <c r="BW23" i="19"/>
  <c r="BV23" i="19"/>
  <c r="BU23" i="19"/>
  <c r="BR23" i="19"/>
  <c r="BQ23" i="19"/>
  <c r="BP23" i="19"/>
  <c r="BA23" i="19"/>
  <c r="AX23" i="19"/>
  <c r="AV23" i="19"/>
  <c r="G26" i="21"/>
  <c r="F26" i="21"/>
  <c r="G25" i="21"/>
  <c r="F25" i="21"/>
  <c r="G21" i="21"/>
  <c r="F21" i="21"/>
  <c r="G20" i="21"/>
  <c r="F20" i="21"/>
  <c r="G19" i="21"/>
  <c r="F19" i="21"/>
  <c r="G15" i="21"/>
  <c r="F15" i="21"/>
  <c r="G14" i="21"/>
  <c r="F14" i="21"/>
  <c r="G8" i="21"/>
  <c r="F8" i="21"/>
  <c r="G7" i="21"/>
  <c r="F7" i="21"/>
  <c r="G6" i="21"/>
  <c r="F6" i="21"/>
  <c r="G5" i="21"/>
  <c r="F5" i="21"/>
  <c r="G4" i="21"/>
  <c r="F4" i="21"/>
  <c r="G54" i="16"/>
  <c r="F54" i="16"/>
  <c r="G53" i="16"/>
  <c r="F53" i="16"/>
  <c r="G52" i="16"/>
  <c r="F52" i="16"/>
  <c r="G51" i="16"/>
  <c r="F51" i="16"/>
  <c r="G46" i="16"/>
  <c r="F46" i="16"/>
  <c r="G45" i="16"/>
  <c r="F45" i="16"/>
  <c r="G44" i="16"/>
  <c r="F44" i="16"/>
  <c r="G43" i="16"/>
  <c r="F43" i="16"/>
  <c r="G42" i="16"/>
  <c r="F42" i="16"/>
  <c r="G41" i="16"/>
  <c r="F41" i="16"/>
  <c r="G40" i="16"/>
  <c r="F40" i="16"/>
  <c r="G35" i="16"/>
  <c r="F35" i="16"/>
  <c r="G34" i="16"/>
  <c r="F34" i="16"/>
  <c r="G33" i="16"/>
  <c r="F33" i="16"/>
  <c r="G32" i="16"/>
  <c r="F32" i="16"/>
  <c r="G31" i="16"/>
  <c r="F31" i="16"/>
  <c r="G30" i="16"/>
  <c r="F30" i="16"/>
  <c r="G29" i="16"/>
  <c r="F29" i="16"/>
  <c r="G25" i="16"/>
  <c r="F25" i="16"/>
  <c r="G24" i="16"/>
  <c r="F24" i="16"/>
  <c r="G23" i="16"/>
  <c r="F23" i="16"/>
  <c r="G22" i="16"/>
  <c r="F22" i="16"/>
  <c r="G17" i="16"/>
  <c r="F17" i="16"/>
  <c r="G16" i="16"/>
  <c r="F16" i="16"/>
  <c r="G15" i="16"/>
  <c r="F15" i="16"/>
  <c r="G14" i="16"/>
  <c r="F14" i="16"/>
  <c r="G13" i="16"/>
  <c r="F13" i="16"/>
  <c r="G12" i="16"/>
  <c r="F12" i="16"/>
  <c r="G11" i="16"/>
  <c r="F11" i="16"/>
  <c r="G10" i="16"/>
  <c r="F10" i="16"/>
  <c r="G9" i="16"/>
  <c r="F9" i="16"/>
  <c r="G8" i="16"/>
  <c r="F8" i="16"/>
  <c r="G7" i="16"/>
  <c r="F7" i="16"/>
  <c r="G6" i="16"/>
  <c r="F6" i="16"/>
  <c r="G5" i="16"/>
  <c r="F5" i="16"/>
  <c r="G4" i="16"/>
  <c r="F4" i="16"/>
  <c r="AX29" i="21"/>
  <c r="AV29" i="21"/>
  <c r="AX28" i="21"/>
  <c r="AV28" i="21"/>
  <c r="AX27" i="21"/>
  <c r="AV27" i="21"/>
  <c r="AX26" i="21"/>
  <c r="AV26" i="21"/>
  <c r="AX25" i="21"/>
  <c r="AV25" i="21"/>
  <c r="AX24" i="21"/>
  <c r="AV24" i="21"/>
  <c r="AX23" i="21"/>
  <c r="AV23" i="21"/>
  <c r="AX22" i="21"/>
  <c r="AV22" i="21"/>
  <c r="AX21" i="21"/>
  <c r="AV21" i="21"/>
  <c r="AX20" i="21"/>
  <c r="AV20" i="21"/>
  <c r="AX19" i="21"/>
  <c r="AV19" i="21"/>
  <c r="AX18" i="21"/>
  <c r="AV18" i="21"/>
  <c r="AX17" i="21"/>
  <c r="AV17" i="21"/>
  <c r="AX16" i="21"/>
  <c r="AV16" i="21"/>
  <c r="AX15" i="21"/>
  <c r="AV15" i="21"/>
  <c r="AX14" i="21"/>
  <c r="AV14" i="21"/>
  <c r="AX13" i="21"/>
  <c r="AV13" i="21"/>
  <c r="AX12" i="21"/>
  <c r="AV12" i="21"/>
  <c r="AX11" i="21"/>
  <c r="AV11" i="21"/>
  <c r="AX10" i="21"/>
  <c r="AV10" i="21"/>
  <c r="AX9" i="21"/>
  <c r="AV9" i="21"/>
  <c r="AX8" i="21"/>
  <c r="AV8" i="21"/>
  <c r="AX7" i="21"/>
  <c r="AV7" i="21"/>
  <c r="AX6" i="21"/>
  <c r="AV6" i="21"/>
  <c r="AX5" i="21"/>
  <c r="AV5" i="21"/>
  <c r="AX4" i="21"/>
  <c r="AV4" i="21"/>
  <c r="AH29" i="21"/>
  <c r="AH28" i="21"/>
  <c r="AH27" i="21"/>
  <c r="AH26" i="21"/>
  <c r="AH25" i="21"/>
  <c r="AH24" i="21"/>
  <c r="AH23" i="21"/>
  <c r="AH22" i="21"/>
  <c r="AH21" i="21"/>
  <c r="AH20" i="21"/>
  <c r="AH19" i="21"/>
  <c r="AH18" i="21"/>
  <c r="AH17" i="21"/>
  <c r="AH16" i="21"/>
  <c r="AH15" i="21"/>
  <c r="AH14" i="21"/>
  <c r="AH13" i="21"/>
  <c r="AH12" i="21"/>
  <c r="AH11" i="21"/>
  <c r="AH10" i="21"/>
  <c r="AH9" i="21"/>
  <c r="AH8" i="21"/>
  <c r="AH7" i="21"/>
  <c r="AH6" i="21"/>
  <c r="AH5" i="21"/>
  <c r="AH4" i="21"/>
  <c r="AD29" i="21"/>
  <c r="AB29" i="21"/>
  <c r="AD28" i="21"/>
  <c r="AB28" i="21"/>
  <c r="AD27" i="21"/>
  <c r="AB27" i="21"/>
  <c r="AD26" i="21"/>
  <c r="AB26" i="21"/>
  <c r="AD25" i="21"/>
  <c r="AB25" i="21"/>
  <c r="AD24" i="21"/>
  <c r="AB24" i="21"/>
  <c r="AD23" i="21"/>
  <c r="AB23" i="21"/>
  <c r="AD22" i="21"/>
  <c r="AB22" i="21"/>
  <c r="AD21" i="21"/>
  <c r="AB21" i="21"/>
  <c r="AD20" i="21"/>
  <c r="AB20" i="21"/>
  <c r="AD19" i="21"/>
  <c r="AB19" i="21"/>
  <c r="AD18" i="21"/>
  <c r="AB18" i="21"/>
  <c r="AD17" i="21"/>
  <c r="AB17" i="21"/>
  <c r="AD16" i="21"/>
  <c r="AB16" i="21"/>
  <c r="AD15" i="21"/>
  <c r="AB15" i="21"/>
  <c r="AD14" i="21"/>
  <c r="AB14" i="21"/>
  <c r="AD13" i="21"/>
  <c r="AB13" i="21"/>
  <c r="AD12" i="21"/>
  <c r="AB12" i="21"/>
  <c r="AD11" i="21"/>
  <c r="AB11" i="21"/>
  <c r="AD10" i="21"/>
  <c r="AB10" i="21"/>
  <c r="AD9" i="21"/>
  <c r="AB9" i="21"/>
  <c r="AD8" i="21"/>
  <c r="AB8" i="21"/>
  <c r="AD7" i="21"/>
  <c r="AB7" i="21"/>
  <c r="AD6" i="21"/>
  <c r="AB6" i="21"/>
  <c r="AD5" i="21"/>
  <c r="AB5" i="21"/>
  <c r="AD4" i="21"/>
  <c r="AB4" i="21"/>
  <c r="U29" i="21"/>
  <c r="S29" i="21"/>
  <c r="Q29" i="21"/>
  <c r="O29" i="21"/>
  <c r="M29" i="21"/>
  <c r="K29" i="21"/>
  <c r="H29" i="21"/>
  <c r="U28" i="21"/>
  <c r="S28" i="21"/>
  <c r="Q28" i="21"/>
  <c r="O28" i="21"/>
  <c r="M28" i="21"/>
  <c r="K28" i="21"/>
  <c r="H28" i="21"/>
  <c r="U27" i="21"/>
  <c r="S27" i="21"/>
  <c r="Q27" i="21"/>
  <c r="O27" i="21"/>
  <c r="M27" i="21"/>
  <c r="K27" i="21"/>
  <c r="H27" i="21"/>
  <c r="U26" i="21"/>
  <c r="S26" i="21"/>
  <c r="Q26" i="21"/>
  <c r="O26" i="21"/>
  <c r="M26" i="21"/>
  <c r="K26" i="21"/>
  <c r="H26" i="21"/>
  <c r="U25" i="21"/>
  <c r="S25" i="21"/>
  <c r="Q25" i="21"/>
  <c r="O25" i="21"/>
  <c r="M25" i="21"/>
  <c r="K25" i="21"/>
  <c r="H25" i="21"/>
  <c r="U24" i="21"/>
  <c r="S24" i="21"/>
  <c r="Q24" i="21"/>
  <c r="O24" i="21"/>
  <c r="M24" i="21"/>
  <c r="K24" i="21"/>
  <c r="H24" i="21"/>
  <c r="U23" i="21"/>
  <c r="S23" i="21"/>
  <c r="Q23" i="21"/>
  <c r="O23" i="21"/>
  <c r="M23" i="21"/>
  <c r="K23" i="21"/>
  <c r="H23" i="21"/>
  <c r="U22" i="21"/>
  <c r="S22" i="21"/>
  <c r="Q22" i="21"/>
  <c r="O22" i="21"/>
  <c r="M22" i="21"/>
  <c r="K22" i="21"/>
  <c r="H22" i="21"/>
  <c r="U21" i="21"/>
  <c r="S21" i="21"/>
  <c r="Q21" i="21"/>
  <c r="O21" i="21"/>
  <c r="M21" i="21"/>
  <c r="K21" i="21"/>
  <c r="H21" i="21"/>
  <c r="U20" i="21"/>
  <c r="S20" i="21"/>
  <c r="Q20" i="21"/>
  <c r="O20" i="21"/>
  <c r="M20" i="21"/>
  <c r="K20" i="21"/>
  <c r="H20" i="21"/>
  <c r="U19" i="21"/>
  <c r="S19" i="21"/>
  <c r="Q19" i="21"/>
  <c r="O19" i="21"/>
  <c r="M19" i="21"/>
  <c r="K19" i="21"/>
  <c r="H19" i="21"/>
  <c r="U18" i="21"/>
  <c r="S18" i="21"/>
  <c r="Q18" i="21"/>
  <c r="O18" i="21"/>
  <c r="M18" i="21"/>
  <c r="K18" i="21"/>
  <c r="H18" i="21"/>
  <c r="U17" i="21"/>
  <c r="S17" i="21"/>
  <c r="Q17" i="21"/>
  <c r="O17" i="21"/>
  <c r="M17" i="21"/>
  <c r="K17" i="21"/>
  <c r="H17" i="21"/>
  <c r="U16" i="21"/>
  <c r="S16" i="21"/>
  <c r="Q16" i="21"/>
  <c r="O16" i="21"/>
  <c r="M16" i="21"/>
  <c r="K16" i="21"/>
  <c r="H16" i="21"/>
  <c r="U15" i="21"/>
  <c r="S15" i="21"/>
  <c r="Q15" i="21"/>
  <c r="O15" i="21"/>
  <c r="M15" i="21"/>
  <c r="K15" i="21"/>
  <c r="H15" i="21"/>
  <c r="U14" i="21"/>
  <c r="S14" i="21"/>
  <c r="Q14" i="21"/>
  <c r="O14" i="21"/>
  <c r="M14" i="21"/>
  <c r="K14" i="21"/>
  <c r="H14" i="21"/>
  <c r="U13" i="21"/>
  <c r="S13" i="21"/>
  <c r="Q13" i="21"/>
  <c r="O13" i="21"/>
  <c r="M13" i="21"/>
  <c r="K13" i="21"/>
  <c r="H13" i="21"/>
  <c r="U12" i="21"/>
  <c r="S12" i="21"/>
  <c r="Q12" i="21"/>
  <c r="O12" i="21"/>
  <c r="M12" i="21"/>
  <c r="K12" i="21"/>
  <c r="H12" i="21"/>
  <c r="U11" i="21"/>
  <c r="S11" i="21"/>
  <c r="Q11" i="21"/>
  <c r="O11" i="21"/>
  <c r="M11" i="21"/>
  <c r="K11" i="21"/>
  <c r="H11" i="21"/>
  <c r="U10" i="21"/>
  <c r="S10" i="21"/>
  <c r="Q10" i="21"/>
  <c r="O10" i="21"/>
  <c r="M10" i="21"/>
  <c r="K10" i="21"/>
  <c r="H10" i="21"/>
  <c r="U9" i="21"/>
  <c r="S9" i="21"/>
  <c r="Q9" i="21"/>
  <c r="O9" i="21"/>
  <c r="M9" i="21"/>
  <c r="K9" i="21"/>
  <c r="H9" i="21"/>
  <c r="U8" i="21"/>
  <c r="S8" i="21"/>
  <c r="Q8" i="21"/>
  <c r="O8" i="21"/>
  <c r="M8" i="21"/>
  <c r="K8" i="21"/>
  <c r="H8" i="21"/>
  <c r="U7" i="21"/>
  <c r="S7" i="21"/>
  <c r="Q7" i="21"/>
  <c r="O7" i="21"/>
  <c r="M7" i="21"/>
  <c r="K7" i="21"/>
  <c r="H7" i="21"/>
  <c r="U6" i="21"/>
  <c r="S6" i="21"/>
  <c r="Q6" i="21"/>
  <c r="O6" i="21"/>
  <c r="M6" i="21"/>
  <c r="K6" i="21"/>
  <c r="H6" i="21"/>
  <c r="U5" i="21"/>
  <c r="S5" i="21"/>
  <c r="Q5" i="21"/>
  <c r="O5" i="21"/>
  <c r="M5" i="21"/>
  <c r="K5" i="21"/>
  <c r="H5" i="21"/>
  <c r="U4" i="21"/>
  <c r="S4" i="21"/>
  <c r="Q4" i="21"/>
  <c r="O4" i="21"/>
  <c r="M4" i="21"/>
  <c r="K4" i="21"/>
  <c r="H4" i="21"/>
  <c r="C29" i="21"/>
  <c r="B29" i="21"/>
  <c r="C28" i="21"/>
  <c r="B28" i="21"/>
  <c r="C27" i="21"/>
  <c r="B27" i="21"/>
  <c r="C26" i="21"/>
  <c r="B26" i="21"/>
  <c r="C25" i="21"/>
  <c r="B25" i="21"/>
  <c r="C24" i="21"/>
  <c r="B24" i="21"/>
  <c r="C23" i="21"/>
  <c r="B23" i="21"/>
  <c r="C22" i="21"/>
  <c r="B22" i="21"/>
  <c r="C21" i="21"/>
  <c r="B21" i="21"/>
  <c r="C20" i="21"/>
  <c r="B20" i="21"/>
  <c r="C19" i="21"/>
  <c r="B19" i="21"/>
  <c r="C18" i="21"/>
  <c r="B18" i="21"/>
  <c r="C17" i="21"/>
  <c r="B17" i="21"/>
  <c r="C16" i="21"/>
  <c r="B16" i="21"/>
  <c r="C15" i="21"/>
  <c r="B15" i="21"/>
  <c r="C14" i="21"/>
  <c r="B14" i="21"/>
  <c r="C13" i="21"/>
  <c r="B13" i="21"/>
  <c r="C12" i="21"/>
  <c r="B12" i="21"/>
  <c r="C11" i="21"/>
  <c r="B11" i="21"/>
  <c r="C10" i="21"/>
  <c r="B10" i="21"/>
  <c r="C9" i="21"/>
  <c r="B9" i="21"/>
  <c r="C8" i="21"/>
  <c r="B8" i="21"/>
  <c r="C7" i="21"/>
  <c r="B7" i="21"/>
  <c r="C6" i="21"/>
  <c r="B6" i="21"/>
  <c r="C5" i="21"/>
  <c r="B5" i="21"/>
  <c r="C4" i="21"/>
  <c r="B4" i="21"/>
  <c r="AX57" i="16"/>
  <c r="AV57" i="16"/>
  <c r="AX56" i="16"/>
  <c r="AV56" i="16"/>
  <c r="AX55" i="16"/>
  <c r="AV55" i="16"/>
  <c r="AX54" i="16"/>
  <c r="AV54" i="16"/>
  <c r="AX53" i="16"/>
  <c r="AV53" i="16"/>
  <c r="AX52" i="16"/>
  <c r="AV52" i="16"/>
  <c r="AX51" i="16"/>
  <c r="AV51" i="16"/>
  <c r="AX49" i="16"/>
  <c r="AV49" i="16"/>
  <c r="AX48" i="16"/>
  <c r="AV48" i="16"/>
  <c r="AX47" i="16"/>
  <c r="AV47" i="16"/>
  <c r="AX46" i="16"/>
  <c r="AV46" i="16"/>
  <c r="AX45" i="16"/>
  <c r="AV45" i="16"/>
  <c r="AX44" i="16"/>
  <c r="AV44" i="16"/>
  <c r="AX43" i="16"/>
  <c r="AV43" i="16"/>
  <c r="AX42" i="16"/>
  <c r="AV42" i="16"/>
  <c r="AX41" i="16"/>
  <c r="AV41" i="16"/>
  <c r="AX40" i="16"/>
  <c r="AV40" i="16"/>
  <c r="AX38" i="16"/>
  <c r="AV38" i="16"/>
  <c r="AX37" i="16"/>
  <c r="AV37" i="16"/>
  <c r="AX36" i="16"/>
  <c r="AV36" i="16"/>
  <c r="AX35" i="16"/>
  <c r="AV35" i="16"/>
  <c r="AX34" i="16"/>
  <c r="AV34" i="16"/>
  <c r="AX33" i="16"/>
  <c r="AV33" i="16"/>
  <c r="AX32" i="16"/>
  <c r="AV32" i="16"/>
  <c r="AX31" i="16"/>
  <c r="AV31" i="16"/>
  <c r="AX30" i="16"/>
  <c r="AV30" i="16"/>
  <c r="AX29" i="16"/>
  <c r="AV29" i="16"/>
  <c r="AX27" i="16"/>
  <c r="AV27" i="16"/>
  <c r="AX26" i="16"/>
  <c r="AV26" i="16"/>
  <c r="AX25" i="16"/>
  <c r="AV25" i="16"/>
  <c r="AX24" i="16"/>
  <c r="AV24" i="16"/>
  <c r="AX23" i="16"/>
  <c r="AV23" i="16"/>
  <c r="AX22" i="16"/>
  <c r="AV22" i="16"/>
  <c r="AX20" i="16"/>
  <c r="AV20" i="16"/>
  <c r="AX19" i="16"/>
  <c r="AV19" i="16"/>
  <c r="AX18" i="16"/>
  <c r="AV18" i="16"/>
  <c r="AX17" i="16"/>
  <c r="AV17" i="16"/>
  <c r="AX16" i="16"/>
  <c r="AV16" i="16"/>
  <c r="AX15" i="16"/>
  <c r="AV15" i="16"/>
  <c r="AX14" i="16"/>
  <c r="AV14" i="16"/>
  <c r="AX13" i="16"/>
  <c r="AV13" i="16"/>
  <c r="AX12" i="16"/>
  <c r="AV12" i="16"/>
  <c r="AX11" i="16"/>
  <c r="AV11" i="16"/>
  <c r="AX10" i="16"/>
  <c r="AV10" i="16"/>
  <c r="AX9" i="16"/>
  <c r="AV9" i="16"/>
  <c r="AX8" i="16"/>
  <c r="AV8" i="16"/>
  <c r="AX7" i="16"/>
  <c r="AV7" i="16"/>
  <c r="AX6" i="16"/>
  <c r="AV6" i="16"/>
  <c r="AX5" i="16"/>
  <c r="AV5" i="16"/>
  <c r="AX4" i="16"/>
  <c r="AV4" i="16"/>
  <c r="AH57" i="16"/>
  <c r="AH56" i="16"/>
  <c r="AH55" i="16"/>
  <c r="AH54" i="16"/>
  <c r="AH53" i="16"/>
  <c r="AH52" i="16"/>
  <c r="AH51" i="16"/>
  <c r="AH49" i="16"/>
  <c r="AH48" i="16"/>
  <c r="AH47" i="16"/>
  <c r="AH46" i="16"/>
  <c r="AH45" i="16"/>
  <c r="AH44" i="16"/>
  <c r="AH43" i="16"/>
  <c r="AH42" i="16"/>
  <c r="AH41" i="16"/>
  <c r="AH40" i="16"/>
  <c r="AH38" i="16"/>
  <c r="AH37" i="16"/>
  <c r="AH36" i="16"/>
  <c r="AH35" i="16"/>
  <c r="AH34" i="16"/>
  <c r="AH33" i="16"/>
  <c r="AH32" i="16"/>
  <c r="AH31" i="16"/>
  <c r="AH30" i="16"/>
  <c r="AH29" i="16"/>
  <c r="AH27" i="16"/>
  <c r="AH26" i="16"/>
  <c r="AH25" i="16"/>
  <c r="AH24" i="16"/>
  <c r="AH23" i="16"/>
  <c r="AH22" i="16"/>
  <c r="AH20" i="16"/>
  <c r="AH19" i="16"/>
  <c r="AH18" i="16"/>
  <c r="AH17" i="16"/>
  <c r="AH16" i="16"/>
  <c r="AH15" i="16"/>
  <c r="AH14" i="16"/>
  <c r="AH13" i="16"/>
  <c r="AH12" i="16"/>
  <c r="AH11" i="16"/>
  <c r="AH10" i="16"/>
  <c r="AH9" i="16"/>
  <c r="AH8" i="16"/>
  <c r="AH7" i="16"/>
  <c r="AH6" i="16"/>
  <c r="AH5" i="16"/>
  <c r="AH4" i="16"/>
  <c r="AD57" i="16"/>
  <c r="AB57" i="16"/>
  <c r="AD56" i="16"/>
  <c r="AB56" i="16"/>
  <c r="AD55" i="16"/>
  <c r="AB55" i="16"/>
  <c r="AD54" i="16"/>
  <c r="AB54" i="16"/>
  <c r="AD53" i="16"/>
  <c r="AB53" i="16"/>
  <c r="AD52" i="16"/>
  <c r="AB52" i="16"/>
  <c r="AD51" i="16"/>
  <c r="AB51" i="16"/>
  <c r="AD49" i="16"/>
  <c r="AB49" i="16"/>
  <c r="AD48" i="16"/>
  <c r="AB48" i="16"/>
  <c r="AD47" i="16"/>
  <c r="AB47" i="16"/>
  <c r="AD46" i="16"/>
  <c r="AB46" i="16"/>
  <c r="AD45" i="16"/>
  <c r="AB45" i="16"/>
  <c r="AD44" i="16"/>
  <c r="AB44" i="16"/>
  <c r="AD43" i="16"/>
  <c r="AB43" i="16"/>
  <c r="AD42" i="16"/>
  <c r="AB42" i="16"/>
  <c r="AD41" i="16"/>
  <c r="AB41" i="16"/>
  <c r="AD40" i="16"/>
  <c r="AB40" i="16"/>
  <c r="AD38" i="16"/>
  <c r="AB38" i="16"/>
  <c r="AD37" i="16"/>
  <c r="AB37" i="16"/>
  <c r="AD36" i="16"/>
  <c r="AB36" i="16"/>
  <c r="AD35" i="16"/>
  <c r="AB35" i="16"/>
  <c r="AD34" i="16"/>
  <c r="AB34" i="16"/>
  <c r="AD33" i="16"/>
  <c r="AB33" i="16"/>
  <c r="AD32" i="16"/>
  <c r="AB32" i="16"/>
  <c r="AD31" i="16"/>
  <c r="AB31" i="16"/>
  <c r="AD30" i="16"/>
  <c r="AB30" i="16"/>
  <c r="AD29" i="16"/>
  <c r="AB29" i="16"/>
  <c r="AD27" i="16"/>
  <c r="AB27" i="16"/>
  <c r="AD26" i="16"/>
  <c r="AB26" i="16"/>
  <c r="AD25" i="16"/>
  <c r="AB25" i="16"/>
  <c r="AD24" i="16"/>
  <c r="AB24" i="16"/>
  <c r="AD23" i="16"/>
  <c r="AB23" i="16"/>
  <c r="AD22" i="16"/>
  <c r="AB22" i="16"/>
  <c r="AD20" i="16"/>
  <c r="AB20" i="16"/>
  <c r="AD19" i="16"/>
  <c r="AB19" i="16"/>
  <c r="AD18" i="16"/>
  <c r="AB18" i="16"/>
  <c r="AD17" i="16"/>
  <c r="AB17" i="16"/>
  <c r="AD16" i="16"/>
  <c r="AB16" i="16"/>
  <c r="AD15" i="16"/>
  <c r="AB15" i="16"/>
  <c r="AD14" i="16"/>
  <c r="AB14" i="16"/>
  <c r="AD13" i="16"/>
  <c r="AB13" i="16"/>
  <c r="AD12" i="16"/>
  <c r="AB12" i="16"/>
  <c r="AD11" i="16"/>
  <c r="AB11" i="16"/>
  <c r="AD10" i="16"/>
  <c r="AB10" i="16"/>
  <c r="AD9" i="16"/>
  <c r="AB9" i="16"/>
  <c r="AD8" i="16"/>
  <c r="AB8" i="16"/>
  <c r="AD7" i="16"/>
  <c r="AB7" i="16"/>
  <c r="AD6" i="16"/>
  <c r="AB6" i="16"/>
  <c r="AD5" i="16"/>
  <c r="AB5" i="16"/>
  <c r="AD4" i="16"/>
  <c r="AB4" i="16"/>
  <c r="U57" i="16"/>
  <c r="S57" i="16"/>
  <c r="Q57" i="16"/>
  <c r="O57" i="16"/>
  <c r="M57" i="16"/>
  <c r="K57" i="16"/>
  <c r="H57" i="16"/>
  <c r="U56" i="16"/>
  <c r="S56" i="16"/>
  <c r="Q56" i="16"/>
  <c r="O56" i="16"/>
  <c r="M56" i="16"/>
  <c r="K56" i="16"/>
  <c r="H56" i="16"/>
  <c r="U55" i="16"/>
  <c r="S55" i="16"/>
  <c r="Q55" i="16"/>
  <c r="O55" i="16"/>
  <c r="M55" i="16"/>
  <c r="K55" i="16"/>
  <c r="H55" i="16"/>
  <c r="U54" i="16"/>
  <c r="S54" i="16"/>
  <c r="Q54" i="16"/>
  <c r="O54" i="16"/>
  <c r="M54" i="16"/>
  <c r="K54" i="16"/>
  <c r="H54" i="16"/>
  <c r="U53" i="16"/>
  <c r="S53" i="16"/>
  <c r="Q53" i="16"/>
  <c r="O53" i="16"/>
  <c r="M53" i="16"/>
  <c r="K53" i="16"/>
  <c r="H53" i="16"/>
  <c r="U52" i="16"/>
  <c r="S52" i="16"/>
  <c r="Q52" i="16"/>
  <c r="O52" i="16"/>
  <c r="M52" i="16"/>
  <c r="K52" i="16"/>
  <c r="H52" i="16"/>
  <c r="U51" i="16"/>
  <c r="S51" i="16"/>
  <c r="Q51" i="16"/>
  <c r="O51" i="16"/>
  <c r="M51" i="16"/>
  <c r="K51" i="16"/>
  <c r="H51" i="16"/>
  <c r="U49" i="16"/>
  <c r="S49" i="16"/>
  <c r="Q49" i="16"/>
  <c r="O49" i="16"/>
  <c r="M49" i="16"/>
  <c r="K49" i="16"/>
  <c r="H49" i="16"/>
  <c r="U48" i="16"/>
  <c r="S48" i="16"/>
  <c r="Q48" i="16"/>
  <c r="O48" i="16"/>
  <c r="M48" i="16"/>
  <c r="K48" i="16"/>
  <c r="H48" i="16"/>
  <c r="U47" i="16"/>
  <c r="S47" i="16"/>
  <c r="Q47" i="16"/>
  <c r="O47" i="16"/>
  <c r="M47" i="16"/>
  <c r="K47" i="16"/>
  <c r="H47" i="16"/>
  <c r="U46" i="16"/>
  <c r="S46" i="16"/>
  <c r="Q46" i="16"/>
  <c r="O46" i="16"/>
  <c r="M46" i="16"/>
  <c r="K46" i="16"/>
  <c r="H46" i="16"/>
  <c r="U45" i="16"/>
  <c r="S45" i="16"/>
  <c r="Q45" i="16"/>
  <c r="O45" i="16"/>
  <c r="M45" i="16"/>
  <c r="K45" i="16"/>
  <c r="H45" i="16"/>
  <c r="U44" i="16"/>
  <c r="S44" i="16"/>
  <c r="Q44" i="16"/>
  <c r="O44" i="16"/>
  <c r="M44" i="16"/>
  <c r="K44" i="16"/>
  <c r="H44" i="16"/>
  <c r="U43" i="16"/>
  <c r="S43" i="16"/>
  <c r="Q43" i="16"/>
  <c r="O43" i="16"/>
  <c r="M43" i="16"/>
  <c r="K43" i="16"/>
  <c r="H43" i="16"/>
  <c r="U42" i="16"/>
  <c r="S42" i="16"/>
  <c r="Q42" i="16"/>
  <c r="O42" i="16"/>
  <c r="M42" i="16"/>
  <c r="K42" i="16"/>
  <c r="H42" i="16"/>
  <c r="U41" i="16"/>
  <c r="S41" i="16"/>
  <c r="Q41" i="16"/>
  <c r="O41" i="16"/>
  <c r="M41" i="16"/>
  <c r="K41" i="16"/>
  <c r="H41" i="16"/>
  <c r="U40" i="16"/>
  <c r="S40" i="16"/>
  <c r="Q40" i="16"/>
  <c r="O40" i="16"/>
  <c r="M40" i="16"/>
  <c r="K40" i="16"/>
  <c r="H40" i="16"/>
  <c r="U38" i="16"/>
  <c r="S38" i="16"/>
  <c r="Q38" i="16"/>
  <c r="O38" i="16"/>
  <c r="M38" i="16"/>
  <c r="K38" i="16"/>
  <c r="H38" i="16"/>
  <c r="U37" i="16"/>
  <c r="S37" i="16"/>
  <c r="Q37" i="16"/>
  <c r="O37" i="16"/>
  <c r="M37" i="16"/>
  <c r="K37" i="16"/>
  <c r="H37" i="16"/>
  <c r="U36" i="16"/>
  <c r="S36" i="16"/>
  <c r="Q36" i="16"/>
  <c r="O36" i="16"/>
  <c r="M36" i="16"/>
  <c r="K36" i="16"/>
  <c r="H36" i="16"/>
  <c r="U35" i="16"/>
  <c r="S35" i="16"/>
  <c r="Q35" i="16"/>
  <c r="O35" i="16"/>
  <c r="M35" i="16"/>
  <c r="K35" i="16"/>
  <c r="H35" i="16"/>
  <c r="U34" i="16"/>
  <c r="S34" i="16"/>
  <c r="Q34" i="16"/>
  <c r="O34" i="16"/>
  <c r="M34" i="16"/>
  <c r="K34" i="16"/>
  <c r="H34" i="16"/>
  <c r="U33" i="16"/>
  <c r="S33" i="16"/>
  <c r="Q33" i="16"/>
  <c r="O33" i="16"/>
  <c r="M33" i="16"/>
  <c r="K33" i="16"/>
  <c r="H33" i="16"/>
  <c r="U32" i="16"/>
  <c r="S32" i="16"/>
  <c r="Q32" i="16"/>
  <c r="O32" i="16"/>
  <c r="M32" i="16"/>
  <c r="K32" i="16"/>
  <c r="H32" i="16"/>
  <c r="U31" i="16"/>
  <c r="S31" i="16"/>
  <c r="Q31" i="16"/>
  <c r="O31" i="16"/>
  <c r="M31" i="16"/>
  <c r="K31" i="16"/>
  <c r="H31" i="16"/>
  <c r="U30" i="16"/>
  <c r="S30" i="16"/>
  <c r="Q30" i="16"/>
  <c r="O30" i="16"/>
  <c r="M30" i="16"/>
  <c r="K30" i="16"/>
  <c r="H30" i="16"/>
  <c r="U29" i="16"/>
  <c r="S29" i="16"/>
  <c r="Q29" i="16"/>
  <c r="O29" i="16"/>
  <c r="M29" i="16"/>
  <c r="K29" i="16"/>
  <c r="H29" i="16"/>
  <c r="U27" i="16"/>
  <c r="S27" i="16"/>
  <c r="Q27" i="16"/>
  <c r="O27" i="16"/>
  <c r="M27" i="16"/>
  <c r="K27" i="16"/>
  <c r="H27" i="16"/>
  <c r="U26" i="16"/>
  <c r="S26" i="16"/>
  <c r="Q26" i="16"/>
  <c r="O26" i="16"/>
  <c r="M26" i="16"/>
  <c r="K26" i="16"/>
  <c r="H26" i="16"/>
  <c r="U25" i="16"/>
  <c r="S25" i="16"/>
  <c r="Q25" i="16"/>
  <c r="O25" i="16"/>
  <c r="M25" i="16"/>
  <c r="K25" i="16"/>
  <c r="H25" i="16"/>
  <c r="U24" i="16"/>
  <c r="S24" i="16"/>
  <c r="Q24" i="16"/>
  <c r="O24" i="16"/>
  <c r="M24" i="16"/>
  <c r="K24" i="16"/>
  <c r="H24" i="16"/>
  <c r="U23" i="16"/>
  <c r="S23" i="16"/>
  <c r="Q23" i="16"/>
  <c r="O23" i="16"/>
  <c r="M23" i="16"/>
  <c r="K23" i="16"/>
  <c r="H23" i="16"/>
  <c r="U22" i="16"/>
  <c r="S22" i="16"/>
  <c r="Q22" i="16"/>
  <c r="O22" i="16"/>
  <c r="M22" i="16"/>
  <c r="K22" i="16"/>
  <c r="H22" i="16"/>
  <c r="U20" i="16"/>
  <c r="S20" i="16"/>
  <c r="Q20" i="16"/>
  <c r="O20" i="16"/>
  <c r="M20" i="16"/>
  <c r="K20" i="16"/>
  <c r="H20" i="16"/>
  <c r="U19" i="16"/>
  <c r="S19" i="16"/>
  <c r="Q19" i="16"/>
  <c r="O19" i="16"/>
  <c r="M19" i="16"/>
  <c r="K19" i="16"/>
  <c r="H19" i="16"/>
  <c r="U18" i="16"/>
  <c r="S18" i="16"/>
  <c r="Q18" i="16"/>
  <c r="O18" i="16"/>
  <c r="M18" i="16"/>
  <c r="K18" i="16"/>
  <c r="H18" i="16"/>
  <c r="U17" i="16"/>
  <c r="S17" i="16"/>
  <c r="Q17" i="16"/>
  <c r="O17" i="16"/>
  <c r="M17" i="16"/>
  <c r="K17" i="16"/>
  <c r="H17" i="16"/>
  <c r="U16" i="16"/>
  <c r="S16" i="16"/>
  <c r="Q16" i="16"/>
  <c r="O16" i="16"/>
  <c r="M16" i="16"/>
  <c r="K16" i="16"/>
  <c r="H16" i="16"/>
  <c r="U15" i="16"/>
  <c r="S15" i="16"/>
  <c r="Q15" i="16"/>
  <c r="O15" i="16"/>
  <c r="M15" i="16"/>
  <c r="K15" i="16"/>
  <c r="H15" i="16"/>
  <c r="U14" i="16"/>
  <c r="S14" i="16"/>
  <c r="Q14" i="16"/>
  <c r="O14" i="16"/>
  <c r="M14" i="16"/>
  <c r="K14" i="16"/>
  <c r="H14" i="16"/>
  <c r="U13" i="16"/>
  <c r="S13" i="16"/>
  <c r="Q13" i="16"/>
  <c r="O13" i="16"/>
  <c r="M13" i="16"/>
  <c r="K13" i="16"/>
  <c r="H13" i="16"/>
  <c r="U12" i="16"/>
  <c r="S12" i="16"/>
  <c r="Q12" i="16"/>
  <c r="O12" i="16"/>
  <c r="M12" i="16"/>
  <c r="K12" i="16"/>
  <c r="H12" i="16"/>
  <c r="U11" i="16"/>
  <c r="S11" i="16"/>
  <c r="Q11" i="16"/>
  <c r="O11" i="16"/>
  <c r="M11" i="16"/>
  <c r="K11" i="16"/>
  <c r="H11" i="16"/>
  <c r="U10" i="16"/>
  <c r="S10" i="16"/>
  <c r="Q10" i="16"/>
  <c r="O10" i="16"/>
  <c r="M10" i="16"/>
  <c r="K10" i="16"/>
  <c r="H10" i="16"/>
  <c r="U9" i="16"/>
  <c r="S9" i="16"/>
  <c r="Q9" i="16"/>
  <c r="O9" i="16"/>
  <c r="M9" i="16"/>
  <c r="K9" i="16"/>
  <c r="H9" i="16"/>
  <c r="U8" i="16"/>
  <c r="S8" i="16"/>
  <c r="Q8" i="16"/>
  <c r="O8" i="16"/>
  <c r="M8" i="16"/>
  <c r="K8" i="16"/>
  <c r="H8" i="16"/>
  <c r="U7" i="16"/>
  <c r="S7" i="16"/>
  <c r="Q7" i="16"/>
  <c r="O7" i="16"/>
  <c r="M7" i="16"/>
  <c r="K7" i="16"/>
  <c r="H7" i="16"/>
  <c r="U6" i="16"/>
  <c r="S6" i="16"/>
  <c r="Q6" i="16"/>
  <c r="O6" i="16"/>
  <c r="M6" i="16"/>
  <c r="K6" i="16"/>
  <c r="H6" i="16"/>
  <c r="U5" i="16"/>
  <c r="S5" i="16"/>
  <c r="Q5" i="16"/>
  <c r="O5" i="16"/>
  <c r="M5" i="16"/>
  <c r="K5" i="16"/>
  <c r="H5" i="16"/>
  <c r="U4" i="16"/>
  <c r="S4" i="16"/>
  <c r="Q4" i="16"/>
  <c r="O4" i="16"/>
  <c r="M4" i="16"/>
  <c r="K4" i="16"/>
  <c r="H4" i="16"/>
  <c r="C57" i="16"/>
  <c r="B57" i="16"/>
  <c r="C56" i="16"/>
  <c r="B56" i="16"/>
  <c r="C55" i="16"/>
  <c r="B55" i="16"/>
  <c r="C54" i="16"/>
  <c r="B54" i="16"/>
  <c r="C53" i="16"/>
  <c r="B53" i="16"/>
  <c r="C52" i="16"/>
  <c r="B52" i="16"/>
  <c r="C51" i="16"/>
  <c r="B51" i="16"/>
  <c r="C49" i="16"/>
  <c r="B49" i="16"/>
  <c r="C48" i="16"/>
  <c r="B48" i="16"/>
  <c r="C47" i="16"/>
  <c r="B47" i="16"/>
  <c r="C46" i="16"/>
  <c r="B46" i="16"/>
  <c r="C45" i="16"/>
  <c r="B45" i="16"/>
  <c r="C44" i="16"/>
  <c r="B44" i="16"/>
  <c r="C43" i="16"/>
  <c r="B43" i="16"/>
  <c r="C42" i="16"/>
  <c r="B42" i="16"/>
  <c r="C41" i="16"/>
  <c r="B41" i="16"/>
  <c r="C40" i="16"/>
  <c r="B40" i="16"/>
  <c r="C38" i="16"/>
  <c r="B38" i="16"/>
  <c r="C37" i="16"/>
  <c r="B37" i="16"/>
  <c r="C36" i="16"/>
  <c r="B36" i="16"/>
  <c r="C35" i="16"/>
  <c r="B35" i="16"/>
  <c r="C34" i="16"/>
  <c r="B34" i="16"/>
  <c r="C33" i="16"/>
  <c r="B33" i="16"/>
  <c r="C32" i="16"/>
  <c r="B32" i="16"/>
  <c r="C31" i="16"/>
  <c r="B31" i="16"/>
  <c r="C30" i="16"/>
  <c r="B30" i="16"/>
  <c r="C29" i="16"/>
  <c r="B29" i="16"/>
  <c r="C27" i="16"/>
  <c r="B27" i="16"/>
  <c r="C26" i="16"/>
  <c r="B26" i="16"/>
  <c r="C25" i="16"/>
  <c r="B25" i="16"/>
  <c r="C24" i="16"/>
  <c r="B24" i="16"/>
  <c r="C23" i="16"/>
  <c r="B23" i="16"/>
  <c r="C22" i="16"/>
  <c r="B22" i="16"/>
  <c r="C20" i="16"/>
  <c r="B20" i="16"/>
  <c r="C19" i="16"/>
  <c r="B19" i="16"/>
  <c r="C18" i="16"/>
  <c r="B18" i="16"/>
  <c r="C17" i="16"/>
  <c r="B17" i="16"/>
  <c r="C16" i="16"/>
  <c r="B16" i="16"/>
  <c r="C15" i="16"/>
  <c r="B15" i="16"/>
  <c r="C14" i="16"/>
  <c r="B14" i="16"/>
  <c r="C13" i="16"/>
  <c r="B13" i="16"/>
  <c r="C12" i="16"/>
  <c r="B12" i="16"/>
  <c r="C11" i="16"/>
  <c r="B11" i="16"/>
  <c r="C10" i="16"/>
  <c r="B10" i="16"/>
  <c r="C9" i="16"/>
  <c r="B9" i="16"/>
  <c r="C8" i="16"/>
  <c r="B8" i="16"/>
  <c r="C7" i="16"/>
  <c r="B7" i="16"/>
  <c r="C6" i="16"/>
  <c r="B6" i="16"/>
  <c r="C5" i="16"/>
  <c r="B5" i="16"/>
  <c r="C4" i="16"/>
  <c r="B4" i="16"/>
  <c r="AL30" i="4"/>
  <c r="AJ30" i="4"/>
  <c r="AL29" i="4"/>
  <c r="AJ29" i="4"/>
  <c r="AL28" i="4"/>
  <c r="AJ28" i="4"/>
  <c r="AL27" i="4"/>
  <c r="AJ27" i="4"/>
  <c r="AL26" i="4"/>
  <c r="AJ26" i="4"/>
  <c r="AL25" i="4"/>
  <c r="AJ25" i="4"/>
  <c r="AL24" i="4"/>
  <c r="AJ24" i="4"/>
  <c r="AL23" i="4"/>
  <c r="AJ23" i="4"/>
  <c r="AL22" i="4"/>
  <c r="AJ22" i="4"/>
  <c r="AL21" i="4"/>
  <c r="AJ21" i="4"/>
  <c r="AL20" i="4"/>
  <c r="AJ20" i="4"/>
  <c r="AL19" i="4"/>
  <c r="AJ19" i="4"/>
  <c r="AL18" i="4"/>
  <c r="AJ18" i="4"/>
  <c r="AL17" i="4"/>
  <c r="AJ17" i="4"/>
  <c r="AL16" i="4"/>
  <c r="AJ16" i="4"/>
  <c r="AL39" i="4"/>
  <c r="AJ39" i="4"/>
  <c r="AL38" i="4"/>
  <c r="AJ38" i="4"/>
  <c r="AL37" i="4"/>
  <c r="AJ37" i="4"/>
  <c r="AL36" i="4"/>
  <c r="AJ36" i="4"/>
  <c r="AL35" i="4"/>
  <c r="AJ35" i="4"/>
  <c r="AL34" i="4"/>
  <c r="AJ34" i="4"/>
  <c r="AL33" i="4"/>
  <c r="AJ33" i="4"/>
  <c r="AL32" i="4"/>
  <c r="AJ32" i="4"/>
  <c r="AL31" i="4"/>
  <c r="AJ31" i="4"/>
  <c r="W30" i="4"/>
  <c r="W29" i="4"/>
  <c r="W28" i="4"/>
  <c r="W27" i="4"/>
  <c r="W26" i="4"/>
  <c r="W25" i="4"/>
  <c r="W24" i="4"/>
  <c r="W23" i="4"/>
  <c r="W22" i="4"/>
  <c r="W21" i="4"/>
  <c r="W20" i="4"/>
  <c r="W19" i="4"/>
  <c r="W18" i="4"/>
  <c r="W17" i="4"/>
  <c r="W16" i="4"/>
  <c r="W39" i="4"/>
  <c r="W38" i="4"/>
  <c r="W37" i="4"/>
  <c r="W36" i="4"/>
  <c r="W35" i="4"/>
  <c r="W34" i="4"/>
  <c r="W33" i="4"/>
  <c r="W32" i="4"/>
  <c r="W31" i="4"/>
  <c r="R30" i="4"/>
  <c r="P30" i="4"/>
  <c r="N30" i="4"/>
  <c r="L30" i="4"/>
  <c r="J30" i="4"/>
  <c r="H30" i="4"/>
  <c r="F30" i="4"/>
  <c r="R29" i="4"/>
  <c r="P29" i="4"/>
  <c r="N29" i="4"/>
  <c r="L29" i="4"/>
  <c r="J29" i="4"/>
  <c r="H29" i="4"/>
  <c r="F29" i="4"/>
  <c r="R28" i="4"/>
  <c r="P28" i="4"/>
  <c r="N28" i="4"/>
  <c r="L28" i="4"/>
  <c r="J28" i="4"/>
  <c r="H28" i="4"/>
  <c r="F28" i="4"/>
  <c r="R27" i="4"/>
  <c r="P27" i="4"/>
  <c r="N27" i="4"/>
  <c r="L27" i="4"/>
  <c r="J27" i="4"/>
  <c r="H27" i="4"/>
  <c r="F27" i="4"/>
  <c r="R26" i="4"/>
  <c r="P26" i="4"/>
  <c r="N26" i="4"/>
  <c r="L26" i="4"/>
  <c r="J26" i="4"/>
  <c r="H26" i="4"/>
  <c r="F26" i="4"/>
  <c r="R25" i="4"/>
  <c r="P25" i="4"/>
  <c r="N25" i="4"/>
  <c r="L25" i="4"/>
  <c r="J25" i="4"/>
  <c r="H25" i="4"/>
  <c r="F25" i="4"/>
  <c r="R24" i="4"/>
  <c r="P24" i="4"/>
  <c r="N24" i="4"/>
  <c r="L24" i="4"/>
  <c r="J24" i="4"/>
  <c r="H24" i="4"/>
  <c r="F24" i="4"/>
  <c r="R23" i="4"/>
  <c r="P23" i="4"/>
  <c r="N23" i="4"/>
  <c r="L23" i="4"/>
  <c r="J23" i="4"/>
  <c r="H23" i="4"/>
  <c r="F23" i="4"/>
  <c r="R22" i="4"/>
  <c r="P22" i="4"/>
  <c r="N22" i="4"/>
  <c r="L22" i="4"/>
  <c r="J22" i="4"/>
  <c r="H22" i="4"/>
  <c r="F22" i="4"/>
  <c r="R21" i="4"/>
  <c r="P21" i="4"/>
  <c r="N21" i="4"/>
  <c r="L21" i="4"/>
  <c r="J21" i="4"/>
  <c r="H21" i="4"/>
  <c r="F21" i="4"/>
  <c r="R20" i="4"/>
  <c r="P20" i="4"/>
  <c r="N20" i="4"/>
  <c r="L20" i="4"/>
  <c r="J20" i="4"/>
  <c r="H20" i="4"/>
  <c r="F20" i="4"/>
  <c r="R19" i="4"/>
  <c r="P19" i="4"/>
  <c r="N19" i="4"/>
  <c r="L19" i="4"/>
  <c r="J19" i="4"/>
  <c r="H19" i="4"/>
  <c r="F19" i="4"/>
  <c r="R18" i="4"/>
  <c r="P18" i="4"/>
  <c r="N18" i="4"/>
  <c r="L18" i="4"/>
  <c r="J18" i="4"/>
  <c r="H18" i="4"/>
  <c r="F18" i="4"/>
  <c r="R17" i="4"/>
  <c r="P17" i="4"/>
  <c r="N17" i="4"/>
  <c r="L17" i="4"/>
  <c r="J17" i="4"/>
  <c r="H17" i="4"/>
  <c r="F17" i="4"/>
  <c r="R16" i="4"/>
  <c r="P16" i="4"/>
  <c r="N16" i="4"/>
  <c r="L16" i="4"/>
  <c r="J16" i="4"/>
  <c r="H16" i="4"/>
  <c r="F16" i="4"/>
  <c r="R39" i="4"/>
  <c r="P39" i="4"/>
  <c r="N39" i="4"/>
  <c r="L39" i="4"/>
  <c r="J39" i="4"/>
  <c r="H39" i="4"/>
  <c r="F39" i="4"/>
  <c r="R38" i="4"/>
  <c r="P38" i="4"/>
  <c r="N38" i="4"/>
  <c r="L38" i="4"/>
  <c r="J38" i="4"/>
  <c r="H38" i="4"/>
  <c r="F38" i="4"/>
  <c r="R37" i="4"/>
  <c r="P37" i="4"/>
  <c r="N37" i="4"/>
  <c r="L37" i="4"/>
  <c r="J37" i="4"/>
  <c r="H37" i="4"/>
  <c r="F37" i="4"/>
  <c r="R36" i="4"/>
  <c r="P36" i="4"/>
  <c r="N36" i="4"/>
  <c r="L36" i="4"/>
  <c r="J36" i="4"/>
  <c r="H36" i="4"/>
  <c r="F36" i="4"/>
  <c r="R35" i="4"/>
  <c r="P35" i="4"/>
  <c r="N35" i="4"/>
  <c r="L35" i="4"/>
  <c r="J35" i="4"/>
  <c r="H35" i="4"/>
  <c r="F35" i="4"/>
  <c r="R34" i="4"/>
  <c r="P34" i="4"/>
  <c r="N34" i="4"/>
  <c r="L34" i="4"/>
  <c r="J34" i="4"/>
  <c r="H34" i="4"/>
  <c r="F34" i="4"/>
  <c r="R33" i="4"/>
  <c r="P33" i="4"/>
  <c r="N33" i="4"/>
  <c r="L33" i="4"/>
  <c r="J33" i="4"/>
  <c r="H33" i="4"/>
  <c r="F33" i="4"/>
  <c r="R32" i="4"/>
  <c r="P32" i="4"/>
  <c r="N32" i="4"/>
  <c r="L32" i="4"/>
  <c r="J32" i="4"/>
  <c r="H32" i="4"/>
  <c r="F32" i="4"/>
  <c r="R31" i="4"/>
  <c r="P31" i="4"/>
  <c r="N31" i="4"/>
  <c r="L31" i="4"/>
  <c r="J31" i="4"/>
  <c r="H31" i="4"/>
  <c r="F31" i="4"/>
  <c r="B30" i="4"/>
  <c r="B29" i="4"/>
  <c r="B28" i="4"/>
  <c r="B27" i="4"/>
  <c r="B26" i="4"/>
  <c r="B25" i="4"/>
  <c r="B24" i="4"/>
  <c r="B23" i="4"/>
  <c r="B22" i="4"/>
  <c r="B21" i="4"/>
  <c r="B20" i="4"/>
  <c r="B19" i="4"/>
  <c r="B18" i="4"/>
  <c r="B17" i="4"/>
  <c r="B16" i="4"/>
  <c r="B39" i="4"/>
  <c r="B38" i="4"/>
  <c r="B37" i="4"/>
  <c r="B36" i="4"/>
  <c r="B35" i="4"/>
  <c r="B34" i="4"/>
  <c r="B33" i="4"/>
  <c r="B32" i="4"/>
  <c r="B31" i="4"/>
  <c r="BW29" i="21"/>
  <c r="BV29" i="21"/>
  <c r="BU29" i="21"/>
  <c r="BR29" i="21"/>
  <c r="BQ29" i="21"/>
  <c r="BP29" i="21"/>
  <c r="BA29" i="21"/>
  <c r="BW28" i="21"/>
  <c r="BV28" i="21"/>
  <c r="BU28" i="21"/>
  <c r="BR28" i="21"/>
  <c r="BQ28" i="21"/>
  <c r="BP28" i="21"/>
  <c r="BA28" i="21"/>
  <c r="BW27" i="21"/>
  <c r="BV27" i="21"/>
  <c r="BU27" i="21"/>
  <c r="BR27" i="21"/>
  <c r="BQ27" i="21"/>
  <c r="BP27" i="21"/>
  <c r="BA27" i="21"/>
  <c r="BW26" i="21"/>
  <c r="BV26" i="21"/>
  <c r="BU26" i="21"/>
  <c r="BR26" i="21"/>
  <c r="BQ26" i="21"/>
  <c r="BP26" i="21"/>
  <c r="BA26" i="21"/>
  <c r="Y26" i="21"/>
  <c r="X26" i="21"/>
  <c r="BW25" i="21"/>
  <c r="BV25" i="21"/>
  <c r="BU25" i="21"/>
  <c r="BR25" i="21"/>
  <c r="BQ25" i="21"/>
  <c r="BP25" i="21"/>
  <c r="BA25" i="21"/>
  <c r="Y25" i="21"/>
  <c r="X25" i="21"/>
  <c r="BW24" i="21"/>
  <c r="BV24" i="21"/>
  <c r="BU24" i="21"/>
  <c r="BR24" i="21"/>
  <c r="BQ24" i="21"/>
  <c r="BP24" i="21"/>
  <c r="BA24" i="21"/>
  <c r="BW23" i="21"/>
  <c r="BV23" i="21"/>
  <c r="BU23" i="21"/>
  <c r="BR23" i="21"/>
  <c r="BQ23" i="21"/>
  <c r="BP23" i="21"/>
  <c r="BA23" i="21"/>
  <c r="BW22" i="21"/>
  <c r="BV22" i="21"/>
  <c r="BU22" i="21"/>
  <c r="BR22" i="21"/>
  <c r="BQ22" i="21"/>
  <c r="BP22" i="21"/>
  <c r="BA22" i="21"/>
  <c r="BW21" i="21"/>
  <c r="BV21" i="21"/>
  <c r="BU21" i="21"/>
  <c r="BR21" i="21"/>
  <c r="BQ21" i="21"/>
  <c r="BP21" i="21"/>
  <c r="BA21" i="21"/>
  <c r="Y21" i="21"/>
  <c r="X21" i="21"/>
  <c r="BW20" i="21"/>
  <c r="BV20" i="21"/>
  <c r="BU20" i="21"/>
  <c r="BR20" i="21"/>
  <c r="BQ20" i="21"/>
  <c r="BP20" i="21"/>
  <c r="BA20" i="21"/>
  <c r="Y20" i="21"/>
  <c r="X20" i="21"/>
  <c r="BW19" i="21"/>
  <c r="BV19" i="21"/>
  <c r="BU19" i="21"/>
  <c r="BR19" i="21"/>
  <c r="BQ19" i="21"/>
  <c r="BP19" i="21"/>
  <c r="BA19" i="21"/>
  <c r="Y19" i="21"/>
  <c r="X19" i="21"/>
  <c r="BW18" i="21"/>
  <c r="BV18" i="21"/>
  <c r="BU18" i="21"/>
  <c r="BR18" i="21"/>
  <c r="BQ18" i="21"/>
  <c r="BP18" i="21"/>
  <c r="BA18" i="21"/>
  <c r="BW17" i="21"/>
  <c r="BV17" i="21"/>
  <c r="BU17" i="21"/>
  <c r="BR17" i="21"/>
  <c r="BQ17" i="21"/>
  <c r="BP17" i="21"/>
  <c r="BA17" i="21"/>
  <c r="BW16" i="21"/>
  <c r="BV16" i="21"/>
  <c r="BU16" i="21"/>
  <c r="BR16" i="21"/>
  <c r="BQ16" i="21"/>
  <c r="BP16" i="21"/>
  <c r="BA16" i="21"/>
  <c r="BW15" i="21"/>
  <c r="BV15" i="21"/>
  <c r="BU15" i="21"/>
  <c r="BR15" i="21"/>
  <c r="BQ15" i="21"/>
  <c r="BP15" i="21"/>
  <c r="BA15" i="21"/>
  <c r="Y15" i="21"/>
  <c r="X15" i="21"/>
  <c r="BW14" i="21"/>
  <c r="BV14" i="21"/>
  <c r="BU14" i="21"/>
  <c r="BR14" i="21"/>
  <c r="BQ14" i="21"/>
  <c r="BP14" i="21"/>
  <c r="BA14" i="21"/>
  <c r="Y14" i="21"/>
  <c r="X14" i="21"/>
  <c r="BW13" i="21"/>
  <c r="BV13" i="21"/>
  <c r="BU13" i="21"/>
  <c r="BR13" i="21"/>
  <c r="BQ13" i="21"/>
  <c r="BP13" i="21"/>
  <c r="BA13" i="21"/>
  <c r="BW12" i="21"/>
  <c r="BV12" i="21"/>
  <c r="BU12" i="21"/>
  <c r="BR12" i="21"/>
  <c r="BQ12" i="21"/>
  <c r="BP12" i="21"/>
  <c r="BA12" i="21"/>
  <c r="BW11" i="21"/>
  <c r="BV11" i="21"/>
  <c r="BU11" i="21"/>
  <c r="BR11" i="21"/>
  <c r="BQ11" i="21"/>
  <c r="BP11" i="21"/>
  <c r="BA11" i="21"/>
  <c r="BW10" i="21"/>
  <c r="BV10" i="21"/>
  <c r="BU10" i="21"/>
  <c r="BR10" i="21"/>
  <c r="BQ10" i="21"/>
  <c r="BP10" i="21"/>
  <c r="BA10" i="21"/>
  <c r="BW9" i="21"/>
  <c r="BV9" i="21"/>
  <c r="BU9" i="21"/>
  <c r="BR9" i="21"/>
  <c r="BQ9" i="21"/>
  <c r="BP9" i="21"/>
  <c r="BA9" i="21"/>
  <c r="BW8" i="21"/>
  <c r="BV8" i="21"/>
  <c r="BU8" i="21"/>
  <c r="BR8" i="21"/>
  <c r="BQ8" i="21"/>
  <c r="BP8" i="21"/>
  <c r="BA8" i="21"/>
  <c r="Y8" i="21"/>
  <c r="X8" i="21"/>
  <c r="BW7" i="21"/>
  <c r="BV7" i="21"/>
  <c r="BU7" i="21"/>
  <c r="BR7" i="21"/>
  <c r="BQ7" i="21"/>
  <c r="BP7" i="21"/>
  <c r="BA7" i="21"/>
  <c r="BW6" i="21"/>
  <c r="BV6" i="21"/>
  <c r="BU6" i="21"/>
  <c r="BR6" i="21"/>
  <c r="BQ6" i="21"/>
  <c r="BP6" i="21"/>
  <c r="BA6" i="21"/>
  <c r="BW5" i="21"/>
  <c r="BV5" i="21"/>
  <c r="BU5" i="21"/>
  <c r="BR5" i="21"/>
  <c r="BQ5" i="21"/>
  <c r="BP5" i="21"/>
  <c r="BA5" i="21"/>
  <c r="BW4" i="21"/>
  <c r="BV4" i="21"/>
  <c r="BU4" i="21"/>
  <c r="BR4" i="21"/>
  <c r="BQ4" i="21"/>
  <c r="BP4" i="21"/>
  <c r="BA4" i="21"/>
  <c r="Y4" i="21"/>
  <c r="X4" i="21"/>
  <c r="BN2" i="21"/>
  <c r="BM2" i="21"/>
  <c r="BL2" i="21"/>
  <c r="BK2" i="21"/>
  <c r="BJ2" i="21"/>
  <c r="BI2" i="21"/>
  <c r="BH2" i="21"/>
  <c r="BG2" i="21"/>
  <c r="BF2" i="21"/>
  <c r="BE2" i="21"/>
  <c r="BD2" i="21"/>
  <c r="BC2" i="21"/>
  <c r="BA2" i="21"/>
  <c r="AZ2" i="21"/>
  <c r="AX2" i="21"/>
  <c r="AV2" i="21"/>
  <c r="AU2" i="21"/>
  <c r="AT2" i="21"/>
  <c r="AS2" i="21"/>
  <c r="AR2" i="21"/>
  <c r="AQ2" i="21"/>
  <c r="AP2" i="21"/>
  <c r="AO2" i="21"/>
  <c r="AN2" i="21"/>
  <c r="AM2" i="21"/>
  <c r="AL2" i="21"/>
  <c r="AK2" i="21"/>
  <c r="AJ2" i="21"/>
  <c r="AH2" i="21"/>
  <c r="AG2" i="21"/>
  <c r="AF2" i="21"/>
  <c r="AD2" i="21"/>
  <c r="AB2" i="21"/>
  <c r="AA2" i="21"/>
  <c r="Z2" i="21"/>
  <c r="W2" i="21"/>
  <c r="U2" i="21"/>
  <c r="S2" i="21"/>
  <c r="Q2" i="21"/>
  <c r="O2" i="21"/>
  <c r="M2" i="21"/>
  <c r="K2" i="21"/>
  <c r="J2" i="21"/>
  <c r="H2" i="21"/>
  <c r="E2" i="21"/>
  <c r="B2" i="21"/>
  <c r="A1" i="21"/>
  <c r="BW57" i="16"/>
  <c r="BV57" i="16"/>
  <c r="BU57" i="16"/>
  <c r="BR57" i="16"/>
  <c r="BQ57" i="16"/>
  <c r="BP57" i="16"/>
  <c r="BA57" i="16"/>
  <c r="BW56" i="16"/>
  <c r="BV56" i="16"/>
  <c r="BU56" i="16"/>
  <c r="BR56" i="16"/>
  <c r="BQ56" i="16"/>
  <c r="BP56" i="16"/>
  <c r="BA56" i="16"/>
  <c r="BW55" i="16"/>
  <c r="BV55" i="16"/>
  <c r="BU55" i="16"/>
  <c r="BR55" i="16"/>
  <c r="BQ55" i="16"/>
  <c r="BP55" i="16"/>
  <c r="BA55" i="16"/>
  <c r="BW54" i="16"/>
  <c r="BV54" i="16"/>
  <c r="BU54" i="16"/>
  <c r="BR54" i="16"/>
  <c r="BQ54" i="16"/>
  <c r="BP54" i="16"/>
  <c r="BA54" i="16"/>
  <c r="Y54" i="16"/>
  <c r="X54" i="16"/>
  <c r="BW53" i="16"/>
  <c r="BV53" i="16"/>
  <c r="BU53" i="16"/>
  <c r="BR53" i="16"/>
  <c r="BQ53" i="16"/>
  <c r="BP53" i="16"/>
  <c r="BA53" i="16"/>
  <c r="Y53" i="16"/>
  <c r="X53" i="16"/>
  <c r="BW52" i="16"/>
  <c r="BV52" i="16"/>
  <c r="BU52" i="16"/>
  <c r="BR52" i="16"/>
  <c r="BQ52" i="16"/>
  <c r="BP52" i="16"/>
  <c r="BA52" i="16"/>
  <c r="Y52" i="16"/>
  <c r="X52" i="16"/>
  <c r="BW51" i="16"/>
  <c r="BV51" i="16"/>
  <c r="BU51" i="16"/>
  <c r="BR51" i="16"/>
  <c r="BQ51" i="16"/>
  <c r="BP51" i="16"/>
  <c r="BA51" i="16"/>
  <c r="Y51" i="16"/>
  <c r="X51" i="16"/>
  <c r="BW49" i="16"/>
  <c r="BV49" i="16"/>
  <c r="BU49" i="16"/>
  <c r="BR49" i="16"/>
  <c r="BQ49" i="16"/>
  <c r="BP49" i="16"/>
  <c r="BA49" i="16"/>
  <c r="BW48" i="16"/>
  <c r="BV48" i="16"/>
  <c r="BU48" i="16"/>
  <c r="BR48" i="16"/>
  <c r="BQ48" i="16"/>
  <c r="BP48" i="16"/>
  <c r="BA48" i="16"/>
  <c r="BW47" i="16"/>
  <c r="BV47" i="16"/>
  <c r="BU47" i="16"/>
  <c r="BR47" i="16"/>
  <c r="BQ47" i="16"/>
  <c r="BP47" i="16"/>
  <c r="BA47" i="16"/>
  <c r="BW46" i="16"/>
  <c r="BV46" i="16"/>
  <c r="BU46" i="16"/>
  <c r="BR46" i="16"/>
  <c r="BQ46" i="16"/>
  <c r="BP46" i="16"/>
  <c r="BA46" i="16"/>
  <c r="Y46" i="16"/>
  <c r="X46" i="16"/>
  <c r="BW45" i="16"/>
  <c r="BV45" i="16"/>
  <c r="BU45" i="16"/>
  <c r="BR45" i="16"/>
  <c r="BQ45" i="16"/>
  <c r="BP45" i="16"/>
  <c r="BA45" i="16"/>
  <c r="Y45" i="16"/>
  <c r="X45" i="16"/>
  <c r="BW44" i="16"/>
  <c r="BV44" i="16"/>
  <c r="BU44" i="16"/>
  <c r="BR44" i="16"/>
  <c r="BQ44" i="16"/>
  <c r="BP44" i="16"/>
  <c r="BA44" i="16"/>
  <c r="Y44" i="16"/>
  <c r="X44" i="16"/>
  <c r="BW43" i="16"/>
  <c r="BV43" i="16"/>
  <c r="BU43" i="16"/>
  <c r="BR43" i="16"/>
  <c r="BQ43" i="16"/>
  <c r="BP43" i="16"/>
  <c r="BA43" i="16"/>
  <c r="Y43" i="16"/>
  <c r="X43" i="16"/>
  <c r="BW42" i="16"/>
  <c r="BV42" i="16"/>
  <c r="BU42" i="16"/>
  <c r="BR42" i="16"/>
  <c r="BQ42" i="16"/>
  <c r="BP42" i="16"/>
  <c r="BA42" i="16"/>
  <c r="Y42" i="16"/>
  <c r="X42" i="16"/>
  <c r="BW41" i="16"/>
  <c r="BV41" i="16"/>
  <c r="BU41" i="16"/>
  <c r="BR41" i="16"/>
  <c r="BQ41" i="16"/>
  <c r="BP41" i="16"/>
  <c r="BA41" i="16"/>
  <c r="Y41" i="16"/>
  <c r="X41" i="16"/>
  <c r="BW40" i="16"/>
  <c r="BV40" i="16"/>
  <c r="BU40" i="16"/>
  <c r="BR40" i="16"/>
  <c r="BQ40" i="16"/>
  <c r="BP40" i="16"/>
  <c r="BA40" i="16"/>
  <c r="Y40" i="16"/>
  <c r="X40" i="16"/>
  <c r="BW38" i="16"/>
  <c r="BV38" i="16"/>
  <c r="BU38" i="16"/>
  <c r="BR38" i="16"/>
  <c r="BQ38" i="16"/>
  <c r="BP38" i="16"/>
  <c r="BA38" i="16"/>
  <c r="BW37" i="16"/>
  <c r="BV37" i="16"/>
  <c r="BU37" i="16"/>
  <c r="BR37" i="16"/>
  <c r="BQ37" i="16"/>
  <c r="BP37" i="16"/>
  <c r="BA37" i="16"/>
  <c r="BW36" i="16"/>
  <c r="BV36" i="16"/>
  <c r="BU36" i="16"/>
  <c r="BR36" i="16"/>
  <c r="BQ36" i="16"/>
  <c r="BP36" i="16"/>
  <c r="BA36" i="16"/>
  <c r="BW35" i="16"/>
  <c r="BV35" i="16"/>
  <c r="BU35" i="16"/>
  <c r="BR35" i="16"/>
  <c r="BQ35" i="16"/>
  <c r="BP35" i="16"/>
  <c r="BA35" i="16"/>
  <c r="Y35" i="16"/>
  <c r="X35" i="16"/>
  <c r="BA34" i="16"/>
  <c r="BA33" i="16"/>
  <c r="BW32" i="16"/>
  <c r="BV32" i="16"/>
  <c r="BU32" i="16"/>
  <c r="BR32" i="16"/>
  <c r="BQ32" i="16"/>
  <c r="BP32" i="16"/>
  <c r="BA32" i="16"/>
  <c r="Y32" i="16"/>
  <c r="X32" i="16"/>
  <c r="BW31" i="16"/>
  <c r="BV31" i="16"/>
  <c r="BU31" i="16"/>
  <c r="BR31" i="16"/>
  <c r="BQ31" i="16"/>
  <c r="BP31" i="16"/>
  <c r="BA31" i="16"/>
  <c r="Y31" i="16"/>
  <c r="X31" i="16"/>
  <c r="BW30" i="16"/>
  <c r="BV30" i="16"/>
  <c r="BU30" i="16"/>
  <c r="BR30" i="16"/>
  <c r="BQ30" i="16"/>
  <c r="BP30" i="16"/>
  <c r="BA30" i="16"/>
  <c r="Y30" i="16"/>
  <c r="X30" i="16"/>
  <c r="BW29" i="16"/>
  <c r="BV29" i="16"/>
  <c r="BU29" i="16"/>
  <c r="BR29" i="16"/>
  <c r="BQ29" i="16"/>
  <c r="BP29" i="16"/>
  <c r="BA29" i="16"/>
  <c r="Y29" i="16"/>
  <c r="X29" i="16"/>
  <c r="BW27" i="16"/>
  <c r="BV27" i="16"/>
  <c r="BU27" i="16"/>
  <c r="BR27" i="16"/>
  <c r="BQ27" i="16"/>
  <c r="BP27" i="16"/>
  <c r="BA27" i="16"/>
  <c r="BW26" i="16"/>
  <c r="BV26" i="16"/>
  <c r="BU26" i="16"/>
  <c r="BR26" i="16"/>
  <c r="BQ26" i="16"/>
  <c r="BP26" i="16"/>
  <c r="BA26" i="16"/>
  <c r="BW25" i="16"/>
  <c r="BV25" i="16"/>
  <c r="BU25" i="16"/>
  <c r="BR25" i="16"/>
  <c r="BQ25" i="16"/>
  <c r="BP25" i="16"/>
  <c r="BA25" i="16"/>
  <c r="Y25" i="16"/>
  <c r="X25" i="16"/>
  <c r="BW24" i="16"/>
  <c r="BV24" i="16"/>
  <c r="BU24" i="16"/>
  <c r="BR24" i="16"/>
  <c r="BQ24" i="16"/>
  <c r="BP24" i="16"/>
  <c r="BA24" i="16"/>
  <c r="Y24" i="16"/>
  <c r="X24" i="16"/>
  <c r="BW23" i="16"/>
  <c r="BV23" i="16"/>
  <c r="BU23" i="16"/>
  <c r="BR23" i="16"/>
  <c r="BQ23" i="16"/>
  <c r="BP23" i="16"/>
  <c r="BA23" i="16"/>
  <c r="Y23" i="16"/>
  <c r="X23" i="16"/>
  <c r="BW22" i="16"/>
  <c r="BV22" i="16"/>
  <c r="BU22" i="16"/>
  <c r="BR22" i="16"/>
  <c r="BQ22" i="16"/>
  <c r="BP22" i="16"/>
  <c r="BA22" i="16"/>
  <c r="Y22" i="16"/>
  <c r="X22" i="16"/>
  <c r="BW20" i="16"/>
  <c r="BV20" i="16"/>
  <c r="BU20" i="16"/>
  <c r="BR20" i="16"/>
  <c r="BQ20" i="16"/>
  <c r="BP20" i="16"/>
  <c r="BA20" i="16"/>
  <c r="BW19" i="16"/>
  <c r="BV19" i="16"/>
  <c r="BU19" i="16"/>
  <c r="BR19" i="16"/>
  <c r="BQ19" i="16"/>
  <c r="BP19" i="16"/>
  <c r="BA19" i="16"/>
  <c r="BW18" i="16"/>
  <c r="BV18" i="16"/>
  <c r="BU18" i="16"/>
  <c r="BR18" i="16"/>
  <c r="BQ18" i="16"/>
  <c r="BP18" i="16"/>
  <c r="BA18" i="16"/>
  <c r="BW17" i="16"/>
  <c r="BV17" i="16"/>
  <c r="BU17" i="16"/>
  <c r="BR17" i="16"/>
  <c r="BQ17" i="16"/>
  <c r="BP17" i="16"/>
  <c r="BA17" i="16"/>
  <c r="Y17" i="16"/>
  <c r="X17" i="16"/>
  <c r="BW16" i="16"/>
  <c r="BV16" i="16"/>
  <c r="BU16" i="16"/>
  <c r="BR16" i="16"/>
  <c r="BQ16" i="16"/>
  <c r="BP16" i="16"/>
  <c r="BA16" i="16"/>
  <c r="BW15" i="16"/>
  <c r="BV15" i="16"/>
  <c r="BU15" i="16"/>
  <c r="BR15" i="16"/>
  <c r="BQ15" i="16"/>
  <c r="BP15" i="16"/>
  <c r="BA15" i="16"/>
  <c r="Y15" i="16"/>
  <c r="X15" i="16"/>
  <c r="BW14" i="16"/>
  <c r="BV14" i="16"/>
  <c r="BU14" i="16"/>
  <c r="BR14" i="16"/>
  <c r="BQ14" i="16"/>
  <c r="BP14" i="16"/>
  <c r="BA14" i="16"/>
  <c r="Y14" i="16"/>
  <c r="X14" i="16"/>
  <c r="BW13" i="16"/>
  <c r="BV13" i="16"/>
  <c r="BU13" i="16"/>
  <c r="BR13" i="16"/>
  <c r="BQ13" i="16"/>
  <c r="BP13" i="16"/>
  <c r="BA13" i="16"/>
  <c r="Y13" i="16"/>
  <c r="X13" i="16"/>
  <c r="BW12" i="16"/>
  <c r="BV12" i="16"/>
  <c r="BU12" i="16"/>
  <c r="BR12" i="16"/>
  <c r="BQ12" i="16"/>
  <c r="BP12" i="16"/>
  <c r="BA12" i="16"/>
  <c r="Y12" i="16"/>
  <c r="X12" i="16"/>
  <c r="BW11" i="16"/>
  <c r="BV11" i="16"/>
  <c r="BU11" i="16"/>
  <c r="BR11" i="16"/>
  <c r="BQ11" i="16"/>
  <c r="BP11" i="16"/>
  <c r="BA11" i="16"/>
  <c r="BW10" i="16"/>
  <c r="BV10" i="16"/>
  <c r="BU10" i="16"/>
  <c r="BR10" i="16"/>
  <c r="BQ10" i="16"/>
  <c r="BP10" i="16"/>
  <c r="BA10" i="16"/>
  <c r="BW9" i="16"/>
  <c r="BV9" i="16"/>
  <c r="BU9" i="16"/>
  <c r="BR9" i="16"/>
  <c r="BQ9" i="16"/>
  <c r="BP9" i="16"/>
  <c r="BA9" i="16"/>
  <c r="BW8" i="16"/>
  <c r="BV8" i="16"/>
  <c r="BU8" i="16"/>
  <c r="BR8" i="16"/>
  <c r="BQ8" i="16"/>
  <c r="BP8" i="16"/>
  <c r="BA8" i="16"/>
  <c r="BW7" i="16"/>
  <c r="BV7" i="16"/>
  <c r="BU7" i="16"/>
  <c r="BR7" i="16"/>
  <c r="BQ7" i="16"/>
  <c r="BP7" i="16"/>
  <c r="BA7" i="16"/>
  <c r="BW6" i="16"/>
  <c r="BV6" i="16"/>
  <c r="BU6" i="16"/>
  <c r="BR6" i="16"/>
  <c r="BQ6" i="16"/>
  <c r="BP6" i="16"/>
  <c r="BA6" i="16"/>
  <c r="BW5" i="16"/>
  <c r="BV5" i="16"/>
  <c r="BU5" i="16"/>
  <c r="BR5" i="16"/>
  <c r="BQ5" i="16"/>
  <c r="BP5" i="16"/>
  <c r="BA5" i="16"/>
  <c r="Y5" i="16"/>
  <c r="X5" i="16"/>
  <c r="BW4" i="16"/>
  <c r="BV4" i="16"/>
  <c r="BU4" i="16"/>
  <c r="BR4" i="16"/>
  <c r="BQ4" i="16"/>
  <c r="BP4" i="16"/>
  <c r="BA4" i="16"/>
  <c r="Y4" i="16"/>
  <c r="X4" i="16"/>
  <c r="BN2" i="16"/>
  <c r="BM2" i="16"/>
  <c r="BL2" i="16"/>
  <c r="BK2" i="16"/>
  <c r="BJ2" i="16"/>
  <c r="BI2" i="16"/>
  <c r="BH2" i="16"/>
  <c r="BG2" i="16"/>
  <c r="BF2" i="16"/>
  <c r="BE2" i="16"/>
  <c r="BD2" i="16"/>
  <c r="BC2" i="16"/>
  <c r="BA2" i="16"/>
  <c r="AZ2" i="16"/>
  <c r="AX2" i="16"/>
  <c r="AV2" i="16"/>
  <c r="AU2" i="16"/>
  <c r="AT2" i="16"/>
  <c r="AS2" i="16"/>
  <c r="AR2" i="16"/>
  <c r="AQ2" i="16"/>
  <c r="AP2" i="16"/>
  <c r="AO2" i="16"/>
  <c r="AN2" i="16"/>
  <c r="AM2" i="16"/>
  <c r="AL2" i="16"/>
  <c r="AK2" i="16"/>
  <c r="AJ2" i="16"/>
  <c r="AH2" i="16"/>
  <c r="AG2" i="16"/>
  <c r="AF2" i="16"/>
  <c r="AD2" i="16"/>
  <c r="AB2" i="16"/>
  <c r="AA2" i="16"/>
  <c r="Z2" i="16"/>
  <c r="W2" i="16"/>
  <c r="U2" i="16"/>
  <c r="S2" i="16"/>
  <c r="Q2" i="16"/>
  <c r="O2" i="16"/>
  <c r="M2" i="16"/>
  <c r="K2" i="16"/>
  <c r="J2" i="16"/>
  <c r="H2" i="16"/>
  <c r="E2" i="16"/>
  <c r="B2" i="16"/>
  <c r="A1" i="16"/>
  <c r="BI30" i="4"/>
  <c r="BH30" i="4"/>
  <c r="BG30" i="4"/>
  <c r="BD30" i="4"/>
  <c r="BC30" i="4"/>
  <c r="BB30" i="4"/>
  <c r="AO30" i="4"/>
  <c r="BI29" i="4"/>
  <c r="BH29" i="4"/>
  <c r="BG29" i="4"/>
  <c r="BD29" i="4"/>
  <c r="BC29" i="4"/>
  <c r="BB29" i="4"/>
  <c r="AO29" i="4"/>
  <c r="BI28" i="4"/>
  <c r="BH28" i="4"/>
  <c r="BG28" i="4"/>
  <c r="BD28" i="4"/>
  <c r="BC28" i="4"/>
  <c r="BB28" i="4"/>
  <c r="AO28" i="4"/>
  <c r="BI27" i="4"/>
  <c r="BH27" i="4"/>
  <c r="BG27" i="4"/>
  <c r="BD27" i="4"/>
  <c r="BC27" i="4"/>
  <c r="BB27" i="4"/>
  <c r="AO27" i="4"/>
  <c r="BI26" i="4"/>
  <c r="BH26" i="4"/>
  <c r="BG26" i="4"/>
  <c r="BD26" i="4"/>
  <c r="BC26" i="4"/>
  <c r="BB26" i="4"/>
  <c r="AO26" i="4"/>
  <c r="BI25" i="4"/>
  <c r="BH25" i="4"/>
  <c r="BG25" i="4"/>
  <c r="BD25" i="4"/>
  <c r="BC25" i="4"/>
  <c r="BB25" i="4"/>
  <c r="AO25" i="4"/>
  <c r="BI24" i="4"/>
  <c r="BH24" i="4"/>
  <c r="BG24" i="4"/>
  <c r="BD24" i="4"/>
  <c r="BC24" i="4"/>
  <c r="BB24" i="4"/>
  <c r="AO24" i="4"/>
  <c r="BI23" i="4"/>
  <c r="BH23" i="4"/>
  <c r="BG23" i="4"/>
  <c r="BD23" i="4"/>
  <c r="BC23" i="4"/>
  <c r="BB23" i="4"/>
  <c r="AO23" i="4"/>
  <c r="BI22" i="4"/>
  <c r="BH22" i="4"/>
  <c r="BG22" i="4"/>
  <c r="BD22" i="4"/>
  <c r="BC22" i="4"/>
  <c r="BB22" i="4"/>
  <c r="AO22" i="4"/>
  <c r="BI21" i="4"/>
  <c r="BH21" i="4"/>
  <c r="BG21" i="4"/>
  <c r="BD21" i="4"/>
  <c r="BC21" i="4"/>
  <c r="BB21" i="4"/>
  <c r="AO21" i="4"/>
  <c r="BI20" i="4"/>
  <c r="BH20" i="4"/>
  <c r="BG20" i="4"/>
  <c r="BD20" i="4"/>
  <c r="BC20" i="4"/>
  <c r="BB20" i="4"/>
  <c r="AO20" i="4"/>
  <c r="BI19" i="4"/>
  <c r="BH19" i="4"/>
  <c r="BG19" i="4"/>
  <c r="BD19" i="4"/>
  <c r="BC19" i="4"/>
  <c r="BB19" i="4"/>
  <c r="AO19" i="4"/>
  <c r="BI18" i="4"/>
  <c r="BH18" i="4"/>
  <c r="BG18" i="4"/>
  <c r="BD18" i="4"/>
  <c r="BC18" i="4"/>
  <c r="BB18" i="4"/>
  <c r="AO18" i="4"/>
  <c r="BI17" i="4"/>
  <c r="BH17" i="4"/>
  <c r="BG17" i="4"/>
  <c r="BD17" i="4"/>
  <c r="BC17" i="4"/>
  <c r="BB17" i="4"/>
  <c r="AO17" i="4"/>
  <c r="BI16" i="4"/>
  <c r="BH16" i="4"/>
  <c r="BG16" i="4"/>
  <c r="BD16" i="4"/>
  <c r="BC16" i="4"/>
  <c r="BB16" i="4"/>
  <c r="AO16" i="4"/>
  <c r="AO39" i="4"/>
  <c r="BI38" i="4"/>
  <c r="BH38" i="4"/>
  <c r="BG38" i="4"/>
  <c r="BD38" i="4"/>
  <c r="BC38" i="4"/>
  <c r="BB38" i="4"/>
  <c r="AO38" i="4"/>
  <c r="BI37" i="4"/>
  <c r="BH37" i="4"/>
  <c r="BG37" i="4"/>
  <c r="BD37" i="4"/>
  <c r="BC37" i="4"/>
  <c r="BB37" i="4"/>
  <c r="AO37" i="4"/>
  <c r="BI36" i="4"/>
  <c r="BH36" i="4"/>
  <c r="BG36" i="4"/>
  <c r="BD36" i="4"/>
  <c r="BC36" i="4"/>
  <c r="BB36" i="4"/>
  <c r="AO36" i="4"/>
  <c r="BI35" i="4"/>
  <c r="BH35" i="4"/>
  <c r="BG35" i="4"/>
  <c r="BD35" i="4"/>
  <c r="BC35" i="4"/>
  <c r="BB35" i="4"/>
  <c r="AO35" i="4"/>
  <c r="BI34" i="4"/>
  <c r="BH34" i="4"/>
  <c r="BG34" i="4"/>
  <c r="BD34" i="4"/>
  <c r="BC34" i="4"/>
  <c r="BB34" i="4"/>
  <c r="AO34" i="4"/>
  <c r="BI33" i="4"/>
  <c r="BH33" i="4"/>
  <c r="BG33" i="4"/>
  <c r="BD33" i="4"/>
  <c r="BC33" i="4"/>
  <c r="BB33" i="4"/>
  <c r="AO33" i="4"/>
  <c r="BI32" i="4"/>
  <c r="BH32" i="4"/>
  <c r="BG32" i="4"/>
  <c r="BD32" i="4"/>
  <c r="BC32" i="4"/>
  <c r="BB32" i="4"/>
  <c r="AO32" i="4"/>
  <c r="BI31" i="4"/>
  <c r="BH31" i="4"/>
  <c r="BG31" i="4"/>
  <c r="BD31" i="4"/>
  <c r="BC31" i="4"/>
  <c r="BB31" i="4"/>
  <c r="AO31" i="4"/>
  <c r="A15" i="19" l="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5" i="21"/>
  <c r="A6" i="21" s="1"/>
  <c r="A7" i="21" s="1"/>
  <c r="A8" i="21" s="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5" i="16"/>
  <c r="A6" i="16" s="1"/>
  <c r="A7" i="16" s="1"/>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 i="20"/>
  <c r="A6" i="20" s="1"/>
  <c r="A7" i="20" s="1"/>
  <c r="A8" i="20" s="1"/>
  <c r="A9" i="20" s="1"/>
  <c r="A10" i="20" s="1"/>
  <c r="A11" i="20" s="1"/>
  <c r="A12" i="20" s="1"/>
  <c r="A13" i="20" s="1"/>
  <c r="A14" i="20" s="1"/>
  <c r="A6" i="19"/>
  <c r="A7" i="19" s="1"/>
  <c r="A8" i="19" s="1"/>
  <c r="A9" i="19" s="1"/>
  <c r="A10" i="19" s="1"/>
  <c r="A11" i="19" s="1"/>
  <c r="A12" i="19" s="1"/>
  <c r="A13" i="19" s="1"/>
  <c r="BW43" i="20" l="1"/>
  <c r="BV43" i="20"/>
  <c r="BU43" i="20"/>
  <c r="BR43" i="20"/>
  <c r="BQ43" i="20"/>
  <c r="BP43" i="20"/>
  <c r="BA43" i="20"/>
  <c r="AX43" i="20"/>
  <c r="AV43" i="20"/>
  <c r="AH43" i="20"/>
  <c r="AD43" i="20"/>
  <c r="AB43" i="20"/>
  <c r="Y43" i="20"/>
  <c r="X43" i="20"/>
  <c r="U43" i="20"/>
  <c r="S43" i="20"/>
  <c r="Q43" i="20"/>
  <c r="O43" i="20"/>
  <c r="M43" i="20"/>
  <c r="K43" i="20"/>
  <c r="H43" i="20"/>
  <c r="G43" i="20"/>
  <c r="F43" i="20"/>
  <c r="C43" i="20"/>
  <c r="B43" i="20"/>
  <c r="BW42" i="20"/>
  <c r="BV42" i="20"/>
  <c r="BU42" i="20"/>
  <c r="BR42" i="20"/>
  <c r="BQ42" i="20"/>
  <c r="BP42" i="20"/>
  <c r="BA42" i="20"/>
  <c r="AX42" i="20"/>
  <c r="AV42" i="20"/>
  <c r="AH42" i="20"/>
  <c r="AD42" i="20"/>
  <c r="AB42" i="20"/>
  <c r="Y42" i="20"/>
  <c r="X42" i="20"/>
  <c r="U42" i="20"/>
  <c r="S42" i="20"/>
  <c r="Q42" i="20"/>
  <c r="O42" i="20"/>
  <c r="M42" i="20"/>
  <c r="K42" i="20"/>
  <c r="H42" i="20"/>
  <c r="G42" i="20"/>
  <c r="F42" i="20"/>
  <c r="C42" i="20"/>
  <c r="B42" i="20"/>
  <c r="BI6" i="4"/>
  <c r="BH6" i="4"/>
  <c r="BG6" i="4"/>
  <c r="BD6" i="4"/>
  <c r="BC6" i="4"/>
  <c r="BB6" i="4"/>
  <c r="AO6" i="4"/>
  <c r="AL6" i="4"/>
  <c r="AJ6" i="4"/>
  <c r="W6" i="4"/>
  <c r="R6" i="4"/>
  <c r="P6" i="4"/>
  <c r="N6" i="4"/>
  <c r="L6" i="4"/>
  <c r="J6" i="4"/>
  <c r="H6" i="4"/>
  <c r="F6" i="4"/>
  <c r="B6" i="4"/>
  <c r="BW51" i="20" l="1"/>
  <c r="BV51" i="20"/>
  <c r="BU51" i="20"/>
  <c r="BR51" i="20"/>
  <c r="BQ51" i="20"/>
  <c r="BP51" i="20"/>
  <c r="BA51" i="20"/>
  <c r="AX51" i="20"/>
  <c r="AD51" i="20"/>
  <c r="AB51" i="20"/>
  <c r="Y51" i="20"/>
  <c r="X51" i="20"/>
  <c r="G51" i="20"/>
  <c r="F51" i="20"/>
  <c r="BW50" i="20"/>
  <c r="BV50" i="20"/>
  <c r="BU50" i="20"/>
  <c r="BR50" i="20"/>
  <c r="BQ50" i="20"/>
  <c r="BP50" i="20"/>
  <c r="BA50" i="20"/>
  <c r="AX50" i="20"/>
  <c r="AD50" i="20"/>
  <c r="AB50" i="20"/>
  <c r="Y50" i="20"/>
  <c r="X50" i="20"/>
  <c r="G50" i="20"/>
  <c r="F50" i="20"/>
  <c r="BW49" i="20"/>
  <c r="BV49" i="20"/>
  <c r="BU49" i="20"/>
  <c r="BR49" i="20"/>
  <c r="BQ49" i="20"/>
  <c r="BP49" i="20"/>
  <c r="BA49" i="20"/>
  <c r="AX49" i="20"/>
  <c r="AD49" i="20"/>
  <c r="AB49" i="20"/>
  <c r="Y49" i="20"/>
  <c r="X49" i="20"/>
  <c r="G49" i="20"/>
  <c r="F49" i="20"/>
  <c r="BW48" i="20"/>
  <c r="BV48" i="20"/>
  <c r="BU48" i="20"/>
  <c r="BR48" i="20"/>
  <c r="BQ48" i="20"/>
  <c r="BP48" i="20"/>
  <c r="BA48" i="20"/>
  <c r="AX48" i="20"/>
  <c r="AD48" i="20"/>
  <c r="AB48" i="20"/>
  <c r="Y48" i="20"/>
  <c r="X48" i="20"/>
  <c r="G48" i="20"/>
  <c r="F48" i="20"/>
  <c r="BW41" i="20"/>
  <c r="BV41" i="20"/>
  <c r="BU41" i="20"/>
  <c r="BR41" i="20"/>
  <c r="BQ41" i="20"/>
  <c r="BP41" i="20"/>
  <c r="BA41" i="20"/>
  <c r="AX41" i="20"/>
  <c r="AD41" i="20"/>
  <c r="AB41" i="20"/>
  <c r="Y41" i="20"/>
  <c r="X41" i="20"/>
  <c r="G41" i="20"/>
  <c r="F41" i="20"/>
  <c r="BW40" i="20"/>
  <c r="BV40" i="20"/>
  <c r="BU40" i="20"/>
  <c r="BR40" i="20"/>
  <c r="BQ40" i="20"/>
  <c r="BP40" i="20"/>
  <c r="BA40" i="20"/>
  <c r="AX40" i="20"/>
  <c r="AD40" i="20"/>
  <c r="AB40" i="20"/>
  <c r="Y40" i="20"/>
  <c r="X40" i="20"/>
  <c r="G40" i="20"/>
  <c r="F40" i="20"/>
  <c r="BW39" i="20"/>
  <c r="BV39" i="20"/>
  <c r="BU39" i="20"/>
  <c r="BR39" i="20"/>
  <c r="BQ39" i="20"/>
  <c r="BP39" i="20"/>
  <c r="BA39" i="20"/>
  <c r="AX39" i="20"/>
  <c r="AD39" i="20"/>
  <c r="AB39" i="20"/>
  <c r="Y39" i="20"/>
  <c r="X39" i="20"/>
  <c r="G39" i="20"/>
  <c r="F39" i="20"/>
  <c r="BW38" i="20"/>
  <c r="BV38" i="20"/>
  <c r="BU38" i="20"/>
  <c r="BR38" i="20"/>
  <c r="BQ38" i="20"/>
  <c r="BP38" i="20"/>
  <c r="BA38" i="20"/>
  <c r="AX38" i="20"/>
  <c r="AD38" i="20"/>
  <c r="AB38" i="20"/>
  <c r="Y38" i="20"/>
  <c r="X38" i="20"/>
  <c r="G38" i="20"/>
  <c r="F38" i="20"/>
  <c r="BW37" i="20"/>
  <c r="BV37" i="20"/>
  <c r="BU37" i="20"/>
  <c r="BR37" i="20"/>
  <c r="BQ37" i="20"/>
  <c r="BP37" i="20"/>
  <c r="BA37" i="20"/>
  <c r="AX37" i="20"/>
  <c r="AD37" i="20"/>
  <c r="AB37" i="20"/>
  <c r="Y37" i="20"/>
  <c r="X37" i="20"/>
  <c r="G37" i="20"/>
  <c r="F37" i="20"/>
  <c r="BW36" i="20"/>
  <c r="BV36" i="20"/>
  <c r="BU36" i="20"/>
  <c r="BR36" i="20"/>
  <c r="BQ36" i="20"/>
  <c r="BP36" i="20"/>
  <c r="BA36" i="20"/>
  <c r="AX36" i="20"/>
  <c r="AD36" i="20"/>
  <c r="AB36" i="20"/>
  <c r="Y36" i="20"/>
  <c r="X36" i="20"/>
  <c r="G36" i="20"/>
  <c r="F36" i="20"/>
  <c r="BW20" i="20"/>
  <c r="BV20" i="20"/>
  <c r="BU20" i="20"/>
  <c r="BR20" i="20"/>
  <c r="BQ20" i="20"/>
  <c r="BP20" i="20"/>
  <c r="BA20" i="20"/>
  <c r="AX20" i="20"/>
  <c r="AD20" i="20"/>
  <c r="AB20" i="20"/>
  <c r="Y20" i="20"/>
  <c r="X20" i="20"/>
  <c r="G20" i="20"/>
  <c r="F20" i="20"/>
  <c r="BW19" i="20"/>
  <c r="BV19" i="20"/>
  <c r="BU19" i="20"/>
  <c r="BR19" i="20"/>
  <c r="BQ19" i="20"/>
  <c r="BP19" i="20"/>
  <c r="BA19" i="20"/>
  <c r="AX19" i="20"/>
  <c r="AD19" i="20"/>
  <c r="AB19" i="20"/>
  <c r="Y19" i="20"/>
  <c r="X19" i="20"/>
  <c r="G19" i="20"/>
  <c r="F19" i="20"/>
  <c r="BW18" i="20"/>
  <c r="BV18" i="20"/>
  <c r="BU18" i="20"/>
  <c r="BR18" i="20"/>
  <c r="BQ18" i="20"/>
  <c r="BP18" i="20"/>
  <c r="BA18" i="20"/>
  <c r="AX18" i="20"/>
  <c r="AD18" i="20"/>
  <c r="AB18" i="20"/>
  <c r="Y18" i="20"/>
  <c r="X18" i="20"/>
  <c r="G18" i="20"/>
  <c r="F18" i="20"/>
  <c r="BW17" i="20"/>
  <c r="BV17" i="20"/>
  <c r="BU17" i="20"/>
  <c r="BR17" i="20"/>
  <c r="BQ17" i="20"/>
  <c r="BP17" i="20"/>
  <c r="BA17" i="20"/>
  <c r="AX17" i="20"/>
  <c r="AD17" i="20"/>
  <c r="AB17" i="20"/>
  <c r="Y17" i="20"/>
  <c r="X17" i="20"/>
  <c r="G17" i="20"/>
  <c r="F17" i="20"/>
  <c r="BW16" i="20"/>
  <c r="BV16" i="20"/>
  <c r="BU16" i="20"/>
  <c r="BR16" i="20"/>
  <c r="BQ16" i="20"/>
  <c r="BP16" i="20"/>
  <c r="BA16" i="20"/>
  <c r="AX16" i="20"/>
  <c r="AD16" i="20"/>
  <c r="AB16" i="20"/>
  <c r="Y16" i="20"/>
  <c r="X16" i="20"/>
  <c r="G16" i="20"/>
  <c r="F16" i="20"/>
  <c r="BW57" i="20"/>
  <c r="BV57" i="20"/>
  <c r="BU57" i="20"/>
  <c r="BR57" i="20"/>
  <c r="BQ57" i="20"/>
  <c r="BP57" i="20"/>
  <c r="BA57" i="20"/>
  <c r="AX57" i="20"/>
  <c r="AD57" i="20"/>
  <c r="AB57" i="20"/>
  <c r="Y57" i="20"/>
  <c r="X57" i="20"/>
  <c r="G57" i="20"/>
  <c r="F57" i="20"/>
  <c r="BW56" i="20"/>
  <c r="BV56" i="20"/>
  <c r="BU56" i="20"/>
  <c r="BR56" i="20"/>
  <c r="BQ56" i="20"/>
  <c r="BP56" i="20"/>
  <c r="BA56" i="20"/>
  <c r="AX56" i="20"/>
  <c r="AH56" i="20"/>
  <c r="AD56" i="20"/>
  <c r="AB56" i="20"/>
  <c r="Y56" i="20"/>
  <c r="X56" i="20"/>
  <c r="G56" i="20"/>
  <c r="F56" i="20"/>
  <c r="BW55" i="20"/>
  <c r="BV55" i="20"/>
  <c r="BU55" i="20"/>
  <c r="BR55" i="20"/>
  <c r="BQ55" i="20"/>
  <c r="BP55" i="20"/>
  <c r="BA55" i="20"/>
  <c r="AX55" i="20"/>
  <c r="AD55" i="20"/>
  <c r="AB55" i="20"/>
  <c r="Y55" i="20"/>
  <c r="X55" i="20"/>
  <c r="G55" i="20"/>
  <c r="F55" i="20"/>
  <c r="BW54" i="20"/>
  <c r="BV54" i="20"/>
  <c r="BU54" i="20"/>
  <c r="BR54" i="20"/>
  <c r="BQ54" i="20"/>
  <c r="BP54" i="20"/>
  <c r="BA54" i="20"/>
  <c r="AX54" i="20"/>
  <c r="AD54" i="20"/>
  <c r="AB54" i="20"/>
  <c r="Y54" i="20"/>
  <c r="X54" i="20"/>
  <c r="G54" i="20"/>
  <c r="F54" i="20"/>
  <c r="BW53" i="20"/>
  <c r="BV53" i="20"/>
  <c r="BU53" i="20"/>
  <c r="BR53" i="20"/>
  <c r="BQ53" i="20"/>
  <c r="BP53" i="20"/>
  <c r="BA53" i="20"/>
  <c r="AX53" i="20"/>
  <c r="AD53" i="20"/>
  <c r="AB53" i="20"/>
  <c r="Y53" i="20"/>
  <c r="X53" i="20"/>
  <c r="G53" i="20"/>
  <c r="F53" i="20"/>
  <c r="BW52" i="20"/>
  <c r="BV52" i="20"/>
  <c r="BU52" i="20"/>
  <c r="BR52" i="20"/>
  <c r="BQ52" i="20"/>
  <c r="BP52" i="20"/>
  <c r="BA52" i="20"/>
  <c r="AX52" i="20"/>
  <c r="AD52" i="20"/>
  <c r="AB52" i="20"/>
  <c r="Y52" i="20"/>
  <c r="X52" i="20"/>
  <c r="G52" i="20"/>
  <c r="F52" i="20"/>
  <c r="BW31" i="20"/>
  <c r="BV31" i="20"/>
  <c r="BU31" i="20"/>
  <c r="BR31" i="20"/>
  <c r="BQ31" i="20"/>
  <c r="BP31" i="20"/>
  <c r="BA31" i="20"/>
  <c r="AX31" i="20"/>
  <c r="AD31" i="20"/>
  <c r="AB31" i="20"/>
  <c r="Y31" i="20"/>
  <c r="X31" i="20"/>
  <c r="G31" i="20"/>
  <c r="F31" i="20"/>
  <c r="BW30" i="20"/>
  <c r="BV30" i="20"/>
  <c r="BU30" i="20"/>
  <c r="BR30" i="20"/>
  <c r="BQ30" i="20"/>
  <c r="BP30" i="20"/>
  <c r="BA30" i="20"/>
  <c r="AX30" i="20"/>
  <c r="AD30" i="20"/>
  <c r="AB30" i="20"/>
  <c r="Y30" i="20"/>
  <c r="X30" i="20"/>
  <c r="G30" i="20"/>
  <c r="F30" i="20"/>
  <c r="BW29" i="20"/>
  <c r="BV29" i="20"/>
  <c r="BU29" i="20"/>
  <c r="BR29" i="20"/>
  <c r="BQ29" i="20"/>
  <c r="BP29" i="20"/>
  <c r="BA29" i="20"/>
  <c r="AX29" i="20"/>
  <c r="AD29" i="20"/>
  <c r="AB29" i="20"/>
  <c r="Y29" i="20"/>
  <c r="X29" i="20"/>
  <c r="G29" i="20"/>
  <c r="F29" i="20"/>
  <c r="BW28" i="20"/>
  <c r="BV28" i="20"/>
  <c r="BU28" i="20"/>
  <c r="BR28" i="20"/>
  <c r="BQ28" i="20"/>
  <c r="BP28" i="20"/>
  <c r="BA28" i="20"/>
  <c r="AX28" i="20"/>
  <c r="AD28" i="20"/>
  <c r="AB28" i="20"/>
  <c r="Y28" i="20"/>
  <c r="X28" i="20"/>
  <c r="G28" i="20"/>
  <c r="F28" i="20"/>
  <c r="BW27" i="20"/>
  <c r="BV27" i="20"/>
  <c r="BU27" i="20"/>
  <c r="BR27" i="20"/>
  <c r="BQ27" i="20"/>
  <c r="BP27" i="20"/>
  <c r="BA27" i="20"/>
  <c r="AX27" i="20"/>
  <c r="AD27" i="20"/>
  <c r="AB27" i="20"/>
  <c r="Y27" i="20"/>
  <c r="X27" i="20"/>
  <c r="G27" i="20"/>
  <c r="F27" i="20"/>
  <c r="BW26" i="20"/>
  <c r="BV26" i="20"/>
  <c r="BU26" i="20"/>
  <c r="BR26" i="20"/>
  <c r="BQ26" i="20"/>
  <c r="BP26" i="20"/>
  <c r="BA26" i="20"/>
  <c r="AX26" i="20"/>
  <c r="AD26" i="20"/>
  <c r="AB26" i="20"/>
  <c r="Y26" i="20"/>
  <c r="X26" i="20"/>
  <c r="G26" i="20"/>
  <c r="F26" i="20"/>
  <c r="BW15" i="20"/>
  <c r="BV15" i="20"/>
  <c r="BU15" i="20"/>
  <c r="BR15" i="20"/>
  <c r="BQ15" i="20"/>
  <c r="BP15" i="20"/>
  <c r="BA15" i="20"/>
  <c r="AX15" i="20"/>
  <c r="AD15" i="20"/>
  <c r="AB15" i="20"/>
  <c r="Y15" i="20"/>
  <c r="X15" i="20"/>
  <c r="G15" i="20"/>
  <c r="F15" i="20"/>
  <c r="BW25" i="20"/>
  <c r="BV25" i="20"/>
  <c r="BU25" i="20"/>
  <c r="BR25" i="20"/>
  <c r="BQ25" i="20"/>
  <c r="BP25" i="20"/>
  <c r="BA25" i="20"/>
  <c r="AX25" i="20"/>
  <c r="AD25" i="20"/>
  <c r="AB25" i="20"/>
  <c r="Y25" i="20"/>
  <c r="X25" i="20"/>
  <c r="G25" i="20"/>
  <c r="F25" i="20"/>
  <c r="BW38" i="19"/>
  <c r="BV38" i="19"/>
  <c r="BU38" i="19"/>
  <c r="BR38" i="19"/>
  <c r="BQ38" i="19"/>
  <c r="BP38" i="19"/>
  <c r="BA38" i="19"/>
  <c r="AX38" i="19"/>
  <c r="BW37" i="19"/>
  <c r="BV37" i="19"/>
  <c r="BU37" i="19"/>
  <c r="BR37" i="19"/>
  <c r="BQ37" i="19"/>
  <c r="BP37" i="19"/>
  <c r="BA37" i="19"/>
  <c r="AX37" i="19"/>
  <c r="BW36" i="19"/>
  <c r="BV36" i="19"/>
  <c r="BU36" i="19"/>
  <c r="BR36" i="19"/>
  <c r="BQ36" i="19"/>
  <c r="BP36" i="19"/>
  <c r="BA36" i="19"/>
  <c r="AX36" i="19"/>
  <c r="BW35" i="19"/>
  <c r="BV35" i="19"/>
  <c r="BU35" i="19"/>
  <c r="BR35" i="19"/>
  <c r="BQ35" i="19"/>
  <c r="BP35" i="19"/>
  <c r="BA35" i="19"/>
  <c r="AX35" i="19"/>
  <c r="BW44" i="19"/>
  <c r="BV44" i="19"/>
  <c r="BU44" i="19"/>
  <c r="BR44" i="19"/>
  <c r="BQ44" i="19"/>
  <c r="BP44" i="19"/>
  <c r="BA44" i="19"/>
  <c r="AX44" i="19"/>
  <c r="BW43" i="19"/>
  <c r="BV43" i="19"/>
  <c r="BU43" i="19"/>
  <c r="BR43" i="19"/>
  <c r="BQ43" i="19"/>
  <c r="BP43" i="19"/>
  <c r="BA43" i="19"/>
  <c r="AX43" i="19"/>
  <c r="BW30" i="19"/>
  <c r="BV30" i="19"/>
  <c r="BU30" i="19"/>
  <c r="BR30" i="19"/>
  <c r="BQ30" i="19"/>
  <c r="BP30" i="19"/>
  <c r="BA30" i="19"/>
  <c r="AX30" i="19"/>
  <c r="BW29" i="19"/>
  <c r="BV29" i="19"/>
  <c r="BU29" i="19"/>
  <c r="BR29" i="19"/>
  <c r="BQ29" i="19"/>
  <c r="BP29" i="19"/>
  <c r="BA29" i="19"/>
  <c r="AX29" i="19"/>
  <c r="BW28" i="19"/>
  <c r="BV28" i="19"/>
  <c r="BU28" i="19"/>
  <c r="BR28" i="19"/>
  <c r="BQ28" i="19"/>
  <c r="BP28" i="19"/>
  <c r="BA28" i="19"/>
  <c r="AX28" i="19"/>
  <c r="BW27" i="19"/>
  <c r="BV27" i="19"/>
  <c r="BU27" i="19"/>
  <c r="BR27" i="19"/>
  <c r="BQ27" i="19"/>
  <c r="BP27" i="19"/>
  <c r="BA27" i="19"/>
  <c r="AX27" i="19"/>
  <c r="BW22" i="19"/>
  <c r="BV22" i="19"/>
  <c r="BU22" i="19"/>
  <c r="BR22" i="19"/>
  <c r="BQ22" i="19"/>
  <c r="BP22" i="19"/>
  <c r="BA22" i="19"/>
  <c r="AX22" i="19"/>
  <c r="BW21" i="19"/>
  <c r="BV21" i="19"/>
  <c r="BU21" i="19"/>
  <c r="BR21" i="19"/>
  <c r="BQ21" i="19"/>
  <c r="BP21" i="19"/>
  <c r="BA21" i="19"/>
  <c r="AX21" i="19"/>
  <c r="BW20" i="19"/>
  <c r="BV20" i="19"/>
  <c r="BU20" i="19"/>
  <c r="BR20" i="19"/>
  <c r="BQ20" i="19"/>
  <c r="BP20" i="19"/>
  <c r="BA20" i="19"/>
  <c r="AX20" i="19"/>
  <c r="BW19" i="19"/>
  <c r="BV19" i="19"/>
  <c r="BU19" i="19"/>
  <c r="BR19" i="19"/>
  <c r="BQ19" i="19"/>
  <c r="BP19" i="19"/>
  <c r="BA19" i="19"/>
  <c r="AX19" i="19"/>
  <c r="BW18" i="19"/>
  <c r="BV18" i="19"/>
  <c r="BU18" i="19"/>
  <c r="BR18" i="19"/>
  <c r="BQ18" i="19"/>
  <c r="BP18" i="19"/>
  <c r="BA18" i="19"/>
  <c r="AX18" i="19"/>
  <c r="BW17" i="19"/>
  <c r="BV17" i="19"/>
  <c r="BU17" i="19"/>
  <c r="BR17" i="19"/>
  <c r="BQ17" i="19"/>
  <c r="BP17" i="19"/>
  <c r="BA17" i="19"/>
  <c r="AX17" i="19"/>
  <c r="BW16" i="19"/>
  <c r="BV16" i="19"/>
  <c r="BU16" i="19"/>
  <c r="BR16" i="19"/>
  <c r="BQ16" i="19"/>
  <c r="BP16" i="19"/>
  <c r="BA16" i="19"/>
  <c r="AX16" i="19"/>
  <c r="BW15" i="19"/>
  <c r="BV15" i="19"/>
  <c r="BU15" i="19"/>
  <c r="BR15" i="19"/>
  <c r="BQ15" i="19"/>
  <c r="BP15" i="19"/>
  <c r="BA15" i="19"/>
  <c r="AX15" i="19"/>
  <c r="BW4" i="19"/>
  <c r="BV4" i="19"/>
  <c r="BU4" i="19"/>
  <c r="BR4" i="19"/>
  <c r="BQ4" i="19"/>
  <c r="BP4" i="19"/>
  <c r="BA4" i="19"/>
  <c r="AX4" i="19"/>
  <c r="AD4" i="19"/>
  <c r="AB4" i="19"/>
  <c r="Y4" i="19"/>
  <c r="X4" i="19"/>
  <c r="G4" i="19"/>
  <c r="F4" i="19"/>
  <c r="BL4" i="2" l="1"/>
  <c r="BL5" i="2" s="1"/>
  <c r="BL6" i="2" s="1"/>
  <c r="BL7" i="2" s="1"/>
  <c r="BL8" i="2" s="1"/>
  <c r="BL9" i="2" s="1"/>
  <c r="BL10" i="2" s="1"/>
  <c r="BL11" i="2" s="1"/>
  <c r="BL12" i="2" s="1"/>
  <c r="BL13" i="2" s="1"/>
  <c r="BL14" i="2" s="1"/>
  <c r="BL15" i="2" s="1"/>
  <c r="BL16" i="2" s="1"/>
  <c r="BL17" i="2" s="1"/>
  <c r="BL18" i="2" s="1"/>
  <c r="BL19" i="2" s="1"/>
  <c r="BL20" i="2" s="1"/>
  <c r="BL21" i="2" s="1"/>
  <c r="BL22" i="2" s="1"/>
  <c r="BL23" i="2" s="1"/>
  <c r="BL24" i="2" s="1"/>
  <c r="BL25" i="2" s="1"/>
  <c r="BL26" i="2" s="1"/>
  <c r="BL27" i="2" s="1"/>
  <c r="BL28" i="2" s="1"/>
  <c r="BL29" i="2" s="1"/>
  <c r="BL30" i="2"/>
  <c r="BL31" i="2"/>
  <c r="BL32" i="2"/>
  <c r="BL33" i="2"/>
  <c r="T151" i="2" l="1"/>
  <c r="BF22" i="2" l="1"/>
  <c r="BF21" i="2"/>
  <c r="BF20" i="2"/>
  <c r="BF19" i="2"/>
  <c r="BF18" i="2"/>
  <c r="BF17" i="2"/>
  <c r="BF16" i="2"/>
  <c r="BF15" i="2"/>
  <c r="BF14" i="2"/>
  <c r="BF13" i="2"/>
  <c r="BF12" i="2"/>
  <c r="BF11" i="2"/>
  <c r="BF10" i="2"/>
  <c r="BF9" i="2"/>
  <c r="BF8" i="2"/>
  <c r="BF4" i="2"/>
  <c r="BF5" i="2" s="1"/>
  <c r="BF6" i="2"/>
  <c r="BI15" i="4"/>
  <c r="BH15" i="4"/>
  <c r="BG15" i="4"/>
  <c r="BD15" i="4"/>
  <c r="BC15" i="4"/>
  <c r="BB15" i="4"/>
  <c r="BI14" i="4"/>
  <c r="BH14" i="4"/>
  <c r="BG14" i="4"/>
  <c r="BD14" i="4"/>
  <c r="BC14" i="4"/>
  <c r="BB14" i="4"/>
  <c r="BI13" i="4"/>
  <c r="BH13" i="4"/>
  <c r="BG13" i="4"/>
  <c r="BD13" i="4"/>
  <c r="BC13" i="4"/>
  <c r="BB13" i="4"/>
  <c r="BI12" i="4"/>
  <c r="BH12" i="4"/>
  <c r="BG12" i="4"/>
  <c r="BD12" i="4"/>
  <c r="BC12" i="4"/>
  <c r="BB12" i="4"/>
  <c r="BI11" i="4"/>
  <c r="BH11" i="4"/>
  <c r="BG11" i="4"/>
  <c r="BD11" i="4"/>
  <c r="BC11" i="4"/>
  <c r="BB11" i="4"/>
  <c r="BI10" i="4"/>
  <c r="BH10" i="4"/>
  <c r="BG10" i="4"/>
  <c r="BD10" i="4"/>
  <c r="BC10" i="4"/>
  <c r="BB10" i="4"/>
  <c r="BI9" i="4"/>
  <c r="BH9" i="4"/>
  <c r="BG9" i="4"/>
  <c r="BD9" i="4"/>
  <c r="BC9" i="4"/>
  <c r="BB9" i="4"/>
  <c r="BI8" i="4"/>
  <c r="BH8" i="4"/>
  <c r="BG8" i="4"/>
  <c r="BD8" i="4"/>
  <c r="BC8" i="4"/>
  <c r="BB8" i="4"/>
  <c r="BI7" i="4"/>
  <c r="BH7" i="4"/>
  <c r="BG7" i="4"/>
  <c r="BD7" i="4"/>
  <c r="BC7" i="4"/>
  <c r="BB7" i="4"/>
  <c r="BI5" i="4"/>
  <c r="BH5" i="4"/>
  <c r="BG5" i="4"/>
  <c r="BD5" i="4"/>
  <c r="BC5" i="4"/>
  <c r="BB5" i="4"/>
  <c r="BI4" i="4"/>
  <c r="BH4" i="4"/>
  <c r="BG4" i="4"/>
  <c r="BD4" i="4"/>
  <c r="BC4" i="4"/>
  <c r="BB4" i="4"/>
  <c r="BI3" i="4"/>
  <c r="BH3" i="4"/>
  <c r="BG3" i="4"/>
  <c r="BD3" i="4"/>
  <c r="BC3" i="4"/>
  <c r="BB3" i="4"/>
  <c r="F36" i="18"/>
  <c r="I36" i="18" s="1"/>
  <c r="W1" i="4" s="1"/>
  <c r="AO15" i="4"/>
  <c r="AO14" i="4"/>
  <c r="AO13" i="4"/>
  <c r="AO12" i="4"/>
  <c r="AO11" i="4"/>
  <c r="AO10" i="4"/>
  <c r="AO9" i="4"/>
  <c r="AO8" i="4"/>
  <c r="AO7" i="4"/>
  <c r="AO5" i="4"/>
  <c r="AO4" i="4"/>
  <c r="AO3" i="4"/>
  <c r="AE1" i="4"/>
  <c r="Z1" i="4"/>
  <c r="U1" i="4"/>
  <c r="T150" i="2"/>
  <c r="T149" i="2"/>
  <c r="T148" i="2"/>
  <c r="T147" i="2"/>
  <c r="T146" i="2"/>
  <c r="T145" i="2"/>
  <c r="T144" i="2"/>
  <c r="T143" i="2"/>
  <c r="T142" i="2"/>
  <c r="T141" i="2"/>
  <c r="T140" i="2"/>
  <c r="T139" i="2"/>
  <c r="T138" i="2"/>
  <c r="T137" i="2"/>
  <c r="T136" i="2"/>
  <c r="T135" i="2"/>
  <c r="T134" i="2"/>
  <c r="T133" i="2"/>
  <c r="T132" i="2"/>
  <c r="T131" i="2"/>
  <c r="T130" i="2"/>
  <c r="T129" i="2"/>
  <c r="T128" i="2"/>
  <c r="T127" i="2"/>
  <c r="T126" i="2"/>
  <c r="T125" i="2"/>
  <c r="T124" i="2"/>
  <c r="T123" i="2"/>
  <c r="T122" i="2"/>
  <c r="T121" i="2"/>
  <c r="T120" i="2"/>
  <c r="T119" i="2"/>
  <c r="T118" i="2"/>
  <c r="T117" i="2"/>
  <c r="T116" i="2"/>
  <c r="T115" i="2"/>
  <c r="T114" i="2"/>
  <c r="T113" i="2"/>
  <c r="T112" i="2"/>
  <c r="T111" i="2"/>
  <c r="T110" i="2"/>
  <c r="T109" i="2"/>
  <c r="T108" i="2"/>
  <c r="T107" i="2"/>
  <c r="T106" i="2"/>
  <c r="T105" i="2"/>
  <c r="T104" i="2"/>
  <c r="T103" i="2"/>
  <c r="T102" i="2"/>
  <c r="T101" i="2"/>
  <c r="T100" i="2"/>
  <c r="T99" i="2"/>
  <c r="T98" i="2"/>
  <c r="T97" i="2"/>
  <c r="T96" i="2"/>
  <c r="T95" i="2"/>
  <c r="T94" i="2"/>
  <c r="T93" i="2"/>
  <c r="T92" i="2"/>
  <c r="T91" i="2"/>
  <c r="T90" i="2"/>
  <c r="T89" i="2"/>
  <c r="T88" i="2"/>
  <c r="T87" i="2"/>
  <c r="T86" i="2"/>
  <c r="T85" i="2"/>
  <c r="T84" i="2"/>
  <c r="T83" i="2"/>
  <c r="T82" i="2"/>
  <c r="T81" i="2"/>
  <c r="T80" i="2"/>
  <c r="T79" i="2"/>
  <c r="T78" i="2"/>
  <c r="T77" i="2"/>
  <c r="T76" i="2"/>
  <c r="T75" i="2"/>
  <c r="T74" i="2"/>
  <c r="T73" i="2"/>
  <c r="T72" i="2"/>
  <c r="T71" i="2"/>
  <c r="T70" i="2"/>
  <c r="T69" i="2"/>
  <c r="T68" i="2"/>
  <c r="T67" i="2"/>
  <c r="T66" i="2"/>
  <c r="T65" i="2"/>
  <c r="T64" i="2"/>
  <c r="T63" i="2"/>
  <c r="T62" i="2"/>
  <c r="T61" i="2"/>
  <c r="T60" i="2"/>
  <c r="T59" i="2"/>
  <c r="T58" i="2"/>
  <c r="T57" i="2"/>
  <c r="T56" i="2"/>
  <c r="T55" i="2"/>
  <c r="T54" i="2"/>
  <c r="T53" i="2"/>
  <c r="T52" i="2"/>
  <c r="T51" i="2"/>
  <c r="T50" i="2"/>
  <c r="T49" i="2"/>
  <c r="T48" i="2"/>
  <c r="T47" i="2"/>
  <c r="T46" i="2"/>
  <c r="T45" i="2"/>
  <c r="T44" i="2"/>
  <c r="T43" i="2"/>
  <c r="T42" i="2"/>
  <c r="T41" i="2"/>
  <c r="T40" i="2"/>
  <c r="T39" i="2"/>
  <c r="T38" i="2"/>
  <c r="T37" i="2"/>
  <c r="T36" i="2"/>
  <c r="T35" i="2"/>
  <c r="T34" i="2"/>
  <c r="T33" i="2"/>
  <c r="T32" i="2"/>
  <c r="T31" i="2"/>
  <c r="T30" i="2"/>
  <c r="T29" i="2"/>
  <c r="T28" i="2"/>
  <c r="T27" i="2"/>
  <c r="T26" i="2"/>
  <c r="T25" i="2"/>
  <c r="T24" i="2"/>
  <c r="T23" i="2"/>
  <c r="T22" i="2"/>
  <c r="T21" i="2"/>
  <c r="T20" i="2"/>
  <c r="T19" i="2"/>
  <c r="T18" i="2"/>
  <c r="T17" i="2"/>
  <c r="T16" i="2"/>
  <c r="T15" i="2"/>
  <c r="T14" i="2"/>
  <c r="T13" i="2"/>
  <c r="T12" i="2"/>
  <c r="T11" i="2"/>
  <c r="T10" i="2"/>
  <c r="T9" i="2"/>
  <c r="T8" i="2"/>
  <c r="T7" i="2"/>
  <c r="T6" i="2"/>
  <c r="T5" i="2"/>
  <c r="T4" i="2"/>
  <c r="T3" i="2"/>
  <c r="U4" i="2"/>
  <c r="U5" i="2" s="1"/>
  <c r="U6" i="2" s="1"/>
  <c r="U7" i="2"/>
  <c r="U8" i="2" s="1"/>
  <c r="U9" i="2" s="1"/>
  <c r="U10" i="2" s="1"/>
  <c r="U11" i="2"/>
  <c r="U12" i="2" s="1"/>
  <c r="U13" i="2" s="1"/>
  <c r="U14" i="2" s="1"/>
  <c r="U15" i="2" s="1"/>
  <c r="U16" i="2" s="1"/>
  <c r="U17" i="2" s="1"/>
  <c r="U18" i="2" s="1"/>
  <c r="U19" i="2" s="1"/>
  <c r="U20" i="2" s="1"/>
  <c r="U21" i="2" s="1"/>
  <c r="U22" i="2" s="1"/>
  <c r="U23" i="2" s="1"/>
  <c r="U24" i="2" s="1"/>
  <c r="U25" i="2" s="1"/>
  <c r="U26" i="2" s="1"/>
  <c r="U27" i="2" s="1"/>
  <c r="U28" i="2" s="1"/>
  <c r="U29" i="2" s="1"/>
  <c r="U30" i="2" s="1"/>
  <c r="U31" i="2" s="1"/>
  <c r="U32" i="2" s="1"/>
  <c r="U33" i="2" s="1"/>
  <c r="U34" i="2" s="1"/>
  <c r="U35" i="2" s="1"/>
  <c r="U36" i="2" s="1"/>
  <c r="U37" i="2" s="1"/>
  <c r="U38" i="2" s="1"/>
  <c r="U39" i="2" s="1"/>
  <c r="U40" i="2" s="1"/>
  <c r="P1" i="2"/>
  <c r="D40" i="18"/>
  <c r="I47" i="18"/>
  <c r="AI1" i="4" s="1"/>
  <c r="I39" i="18"/>
  <c r="AA1" i="4" s="1"/>
  <c r="BO1" i="2"/>
  <c r="AK1" i="2"/>
  <c r="B1" i="4"/>
  <c r="AZ1" i="4"/>
  <c r="AY1" i="4"/>
  <c r="AX1" i="4"/>
  <c r="AW1" i="4"/>
  <c r="AV1" i="4"/>
  <c r="N31" i="18"/>
  <c r="N30" i="18"/>
  <c r="BY1" i="2" s="1"/>
  <c r="N27" i="18"/>
  <c r="N26" i="18"/>
  <c r="M33" i="18"/>
  <c r="N33" i="18" s="1"/>
  <c r="M32" i="18"/>
  <c r="N32" i="18" s="1"/>
  <c r="M31" i="18"/>
  <c r="M30" i="18"/>
  <c r="M29" i="18"/>
  <c r="N29" i="18" s="1"/>
  <c r="M28" i="18"/>
  <c r="N28" i="18" s="1"/>
  <c r="M27" i="18"/>
  <c r="M26" i="18"/>
  <c r="M25" i="18"/>
  <c r="N25" i="18" s="1"/>
  <c r="K24" i="18"/>
  <c r="N24" i="18" s="1"/>
  <c r="K35" i="18"/>
  <c r="N35" i="18" s="1"/>
  <c r="F38" i="18"/>
  <c r="I38" i="18" s="1"/>
  <c r="H31" i="18"/>
  <c r="I31" i="18" s="1"/>
  <c r="H51" i="18"/>
  <c r="I51" i="18"/>
  <c r="AO1" i="4" s="1"/>
  <c r="H50" i="18"/>
  <c r="I50" i="18" s="1"/>
  <c r="AN1" i="4" s="1"/>
  <c r="H46" i="18"/>
  <c r="I46" i="18"/>
  <c r="AH1" i="4" s="1"/>
  <c r="H45" i="18"/>
  <c r="I45" i="18" s="1"/>
  <c r="AG1" i="4" s="1"/>
  <c r="H44" i="18"/>
  <c r="I44" i="18"/>
  <c r="AF1" i="4" s="1"/>
  <c r="H43" i="18"/>
  <c r="I43" i="18" s="1"/>
  <c r="H42" i="18"/>
  <c r="I42" i="18"/>
  <c r="AD1" i="4" s="1"/>
  <c r="H41" i="18"/>
  <c r="I41" i="18" s="1"/>
  <c r="AC1" i="4" s="1"/>
  <c r="H40" i="18"/>
  <c r="I40" i="18"/>
  <c r="AB1" i="4" s="1"/>
  <c r="H35" i="18"/>
  <c r="I35" i="18" s="1"/>
  <c r="V1" i="4" s="1"/>
  <c r="H34" i="18"/>
  <c r="I34" i="18"/>
  <c r="H33" i="18"/>
  <c r="I33" i="18" s="1"/>
  <c r="T1" i="4" s="1"/>
  <c r="H25" i="18"/>
  <c r="I25" i="18"/>
  <c r="E1" i="4" s="1"/>
  <c r="H24" i="18"/>
  <c r="I24" i="18" s="1"/>
  <c r="D1" i="4" s="1"/>
  <c r="H23" i="18"/>
  <c r="I23" i="18"/>
  <c r="F2" i="2"/>
  <c r="C56" i="18"/>
  <c r="C55" i="18"/>
  <c r="D55" i="18"/>
  <c r="C54" i="18"/>
  <c r="C53" i="18"/>
  <c r="F48" i="18" s="1"/>
  <c r="I48" i="18" s="1"/>
  <c r="AJ1" i="4" s="1"/>
  <c r="D53" i="18"/>
  <c r="C52" i="18"/>
  <c r="D52" i="18" s="1"/>
  <c r="C51" i="18"/>
  <c r="D51" i="18"/>
  <c r="C50" i="18"/>
  <c r="D50" i="18" s="1"/>
  <c r="C49" i="18"/>
  <c r="C48" i="18"/>
  <c r="C47" i="18"/>
  <c r="D47" i="18" s="1"/>
  <c r="C46" i="18"/>
  <c r="D46" i="18"/>
  <c r="C45" i="18"/>
  <c r="D45" i="18" s="1"/>
  <c r="C44" i="18"/>
  <c r="C43" i="18"/>
  <c r="D43" i="18"/>
  <c r="C42" i="18"/>
  <c r="D42" i="18" s="1"/>
  <c r="C41" i="18"/>
  <c r="F37" i="18" s="1"/>
  <c r="C39" i="18"/>
  <c r="D39" i="18" s="1"/>
  <c r="C38" i="18"/>
  <c r="D38" i="18" s="1"/>
  <c r="C37" i="18"/>
  <c r="D37" i="18"/>
  <c r="AZ1" i="2" s="1"/>
  <c r="C36" i="18"/>
  <c r="D36" i="18" s="1"/>
  <c r="C35" i="18"/>
  <c r="D35" i="18"/>
  <c r="C34" i="18"/>
  <c r="D34" i="18" s="1"/>
  <c r="C33" i="18"/>
  <c r="C32" i="18"/>
  <c r="C31" i="18"/>
  <c r="D31" i="18"/>
  <c r="C30" i="18"/>
  <c r="D30" i="18" s="1"/>
  <c r="C29" i="18"/>
  <c r="D29" i="18"/>
  <c r="C28" i="18"/>
  <c r="D28" i="18" s="1"/>
  <c r="C27" i="18"/>
  <c r="D27" i="18"/>
  <c r="C26" i="18"/>
  <c r="D26" i="18" s="1"/>
  <c r="C25" i="18"/>
  <c r="D25" i="18"/>
  <c r="C24" i="18"/>
  <c r="D24" i="18" s="1"/>
  <c r="C23" i="18"/>
  <c r="K23" i="18" s="1"/>
  <c r="N23" i="18" s="1"/>
  <c r="D23" i="18"/>
  <c r="D56" i="18"/>
  <c r="D49" i="18"/>
  <c r="D48" i="18"/>
  <c r="D44" i="18"/>
  <c r="D33" i="18"/>
  <c r="B16" i="18"/>
  <c r="B15" i="18"/>
  <c r="B14" i="18"/>
  <c r="B13" i="18"/>
  <c r="B12" i="18"/>
  <c r="B11" i="18"/>
  <c r="B10" i="18"/>
  <c r="B9" i="18"/>
  <c r="B8" i="18"/>
  <c r="B7" i="18"/>
  <c r="B6" i="18"/>
  <c r="B5" i="18"/>
  <c r="A1" i="2"/>
  <c r="C2" i="2"/>
  <c r="F26" i="18"/>
  <c r="I26" i="18" s="1"/>
  <c r="F1" i="4" s="1"/>
  <c r="F29" i="18"/>
  <c r="I29" i="18"/>
  <c r="L1" i="4" s="1"/>
  <c r="F27" i="18"/>
  <c r="I27" i="18" s="1"/>
  <c r="H1" i="4" s="1"/>
  <c r="F32" i="18"/>
  <c r="I32" i="18"/>
  <c r="R1" i="4" s="1"/>
  <c r="F28" i="18"/>
  <c r="I28" i="18" s="1"/>
  <c r="J1" i="4" s="1"/>
  <c r="A3" i="2"/>
  <c r="AI57" i="2"/>
  <c r="AI58" i="2"/>
  <c r="AI59" i="2"/>
  <c r="AI60" i="2"/>
  <c r="AI61" i="2"/>
  <c r="AI62" i="2"/>
  <c r="AI63" i="2"/>
  <c r="AI64" i="2"/>
  <c r="AI65" i="2"/>
  <c r="AI66" i="2"/>
  <c r="AI67" i="2"/>
  <c r="AI68" i="2"/>
  <c r="AI69" i="2"/>
  <c r="AI70" i="2"/>
  <c r="AI71" i="2"/>
  <c r="AI72" i="2"/>
  <c r="AI73" i="2"/>
  <c r="AI74" i="2"/>
  <c r="AI75" i="2"/>
  <c r="AI76" i="2"/>
  <c r="AI77" i="2"/>
  <c r="AI78" i="2"/>
  <c r="AI79" i="2"/>
  <c r="AI80" i="2"/>
  <c r="AI81" i="2"/>
  <c r="AI82" i="2"/>
  <c r="AI83" i="2"/>
  <c r="AI84" i="2"/>
  <c r="AI85" i="2"/>
  <c r="AI86" i="2"/>
  <c r="AI87" i="2"/>
  <c r="AI88" i="2"/>
  <c r="AI89" i="2"/>
  <c r="AI90" i="2"/>
  <c r="AI91" i="2"/>
  <c r="AI92" i="2"/>
  <c r="AI93" i="2"/>
  <c r="AI94" i="2"/>
  <c r="AI95" i="2"/>
  <c r="AI96" i="2"/>
  <c r="AI97" i="2"/>
  <c r="AI98" i="2"/>
  <c r="AI99" i="2"/>
  <c r="AI100" i="2"/>
  <c r="W15" i="4"/>
  <c r="W14" i="4"/>
  <c r="W13" i="4"/>
  <c r="W11" i="4"/>
  <c r="W9" i="4"/>
  <c r="W8" i="4"/>
  <c r="W7" i="4"/>
  <c r="W5" i="4"/>
  <c r="W4" i="4"/>
  <c r="W3" i="4"/>
  <c r="CC52" i="2"/>
  <c r="CC51" i="2"/>
  <c r="CC50" i="2"/>
  <c r="CC49" i="2"/>
  <c r="CC48" i="2"/>
  <c r="CC47" i="2"/>
  <c r="CC46" i="2"/>
  <c r="CC45" i="2"/>
  <c r="CC44" i="2"/>
  <c r="CC43" i="2"/>
  <c r="CC42" i="2"/>
  <c r="CC41" i="2"/>
  <c r="CC40" i="2"/>
  <c r="CC39" i="2"/>
  <c r="CC38" i="2"/>
  <c r="CC37" i="2"/>
  <c r="CC36" i="2"/>
  <c r="CC35" i="2"/>
  <c r="CC34" i="2"/>
  <c r="CC33" i="2"/>
  <c r="CC32" i="2"/>
  <c r="CC31" i="2"/>
  <c r="CC30" i="2"/>
  <c r="CC29" i="2"/>
  <c r="CC28" i="2"/>
  <c r="CC27" i="2"/>
  <c r="CC26" i="2"/>
  <c r="CC25" i="2"/>
  <c r="CC24" i="2"/>
  <c r="CC23" i="2"/>
  <c r="CC22" i="2"/>
  <c r="CC21" i="2"/>
  <c r="CC20" i="2"/>
  <c r="CC19" i="2"/>
  <c r="CC18" i="2"/>
  <c r="CC17" i="2"/>
  <c r="CC16" i="2"/>
  <c r="CC15" i="2"/>
  <c r="CC14" i="2"/>
  <c r="CC13" i="2"/>
  <c r="CC4" i="2"/>
  <c r="CC5" i="2"/>
  <c r="CC6" i="2"/>
  <c r="CC7" i="2"/>
  <c r="CC8" i="2"/>
  <c r="CC9" i="2"/>
  <c r="CC10" i="2"/>
  <c r="CC11" i="2"/>
  <c r="CC12" i="2"/>
  <c r="A2" i="4"/>
  <c r="BZ26" i="2"/>
  <c r="BZ27" i="2"/>
  <c r="BZ28" i="2"/>
  <c r="BZ29" i="2"/>
  <c r="BZ30" i="2"/>
  <c r="BZ31" i="2"/>
  <c r="BZ32" i="2"/>
  <c r="BZ33" i="2"/>
  <c r="BZ34" i="2"/>
  <c r="BZ35" i="2"/>
  <c r="BZ36" i="2"/>
  <c r="BZ37" i="2"/>
  <c r="BZ38" i="2"/>
  <c r="BZ39" i="2"/>
  <c r="BZ40" i="2"/>
  <c r="BZ41" i="2"/>
  <c r="BZ42" i="2"/>
  <c r="BZ43" i="2"/>
  <c r="BZ44" i="2"/>
  <c r="BZ45" i="2"/>
  <c r="BZ46" i="2"/>
  <c r="BZ47" i="2"/>
  <c r="BZ48" i="2"/>
  <c r="BZ49" i="2"/>
  <c r="BZ50" i="2"/>
  <c r="BZ51" i="2"/>
  <c r="BZ52" i="2"/>
  <c r="BH30" i="2"/>
  <c r="BH31" i="2"/>
  <c r="BH32" i="2"/>
  <c r="BH33" i="2"/>
  <c r="BH34" i="2"/>
  <c r="BH35" i="2"/>
  <c r="BH36" i="2"/>
  <c r="BH37" i="2"/>
  <c r="BH38" i="2"/>
  <c r="BH39" i="2"/>
  <c r="BH40" i="2"/>
  <c r="BH41" i="2"/>
  <c r="BH42" i="2"/>
  <c r="BH43" i="2"/>
  <c r="BH44" i="2"/>
  <c r="BH45" i="2"/>
  <c r="BH46" i="2"/>
  <c r="BH47" i="2"/>
  <c r="BH48" i="2"/>
  <c r="BH49" i="2"/>
  <c r="BH50" i="2"/>
  <c r="BH51" i="2"/>
  <c r="BH52" i="2"/>
  <c r="AT43" i="2"/>
  <c r="AT44" i="2"/>
  <c r="AT45" i="2"/>
  <c r="AT46" i="2"/>
  <c r="AT47" i="2"/>
  <c r="AT48" i="2"/>
  <c r="AT49" i="2"/>
  <c r="AT50" i="2"/>
  <c r="AT51" i="2"/>
  <c r="AT52" i="2"/>
  <c r="AQ44" i="2"/>
  <c r="AQ45" i="2"/>
  <c r="AQ46" i="2"/>
  <c r="AQ47" i="2"/>
  <c r="AQ48" i="2"/>
  <c r="AQ49" i="2"/>
  <c r="AQ50" i="2"/>
  <c r="AQ51" i="2"/>
  <c r="AQ52" i="2"/>
  <c r="AL26" i="2"/>
  <c r="AL27" i="2"/>
  <c r="AL28" i="2"/>
  <c r="AL29" i="2"/>
  <c r="AL30" i="2"/>
  <c r="AL31" i="2"/>
  <c r="AL32" i="2"/>
  <c r="AL33" i="2"/>
  <c r="AL34" i="2"/>
  <c r="AL35" i="2"/>
  <c r="AL36" i="2"/>
  <c r="AL37" i="2"/>
  <c r="AL38" i="2"/>
  <c r="AL39" i="2"/>
  <c r="AL40" i="2"/>
  <c r="AL41" i="2"/>
  <c r="AL42" i="2"/>
  <c r="AL43" i="2"/>
  <c r="AL44" i="2"/>
  <c r="AL45" i="2"/>
  <c r="AL46" i="2"/>
  <c r="AL47" i="2"/>
  <c r="AL48" i="2"/>
  <c r="AL49" i="2"/>
  <c r="AL50" i="2"/>
  <c r="AL51" i="2"/>
  <c r="AL52" i="2"/>
  <c r="AF26" i="2"/>
  <c r="AF27" i="2"/>
  <c r="AF28" i="2"/>
  <c r="AF29" i="2"/>
  <c r="AF30" i="2"/>
  <c r="AF31" i="2"/>
  <c r="AF32" i="2"/>
  <c r="AF33" i="2"/>
  <c r="AF34" i="2"/>
  <c r="AF35" i="2"/>
  <c r="AF36" i="2"/>
  <c r="AF37" i="2"/>
  <c r="AF38" i="2"/>
  <c r="AF39" i="2"/>
  <c r="AF40" i="2"/>
  <c r="AF41" i="2"/>
  <c r="AF42" i="2"/>
  <c r="AF43" i="2"/>
  <c r="AF44" i="2"/>
  <c r="AF45" i="2"/>
  <c r="AF46" i="2"/>
  <c r="AF47" i="2"/>
  <c r="AF48" i="2"/>
  <c r="AF49" i="2"/>
  <c r="AF50" i="2"/>
  <c r="AF51" i="2"/>
  <c r="AF52" i="2"/>
  <c r="Y42" i="2"/>
  <c r="Y43" i="2"/>
  <c r="Y44" i="2"/>
  <c r="Y45" i="2"/>
  <c r="Y46" i="2"/>
  <c r="Y47" i="2"/>
  <c r="Y48" i="2"/>
  <c r="Y49" i="2"/>
  <c r="Y50" i="2"/>
  <c r="Y51" i="2"/>
  <c r="Y52" i="2"/>
  <c r="AI4" i="2"/>
  <c r="AF25" i="2"/>
  <c r="AF24" i="2"/>
  <c r="AF23" i="2"/>
  <c r="AF22" i="2"/>
  <c r="AF21" i="2"/>
  <c r="AF20" i="2"/>
  <c r="AF19" i="2"/>
  <c r="AF4" i="2"/>
  <c r="AF5" i="2" s="1"/>
  <c r="AF6" i="2" s="1"/>
  <c r="AF7" i="2" s="1"/>
  <c r="AF8" i="2" s="1"/>
  <c r="AF9" i="2" s="1"/>
  <c r="AF10" i="2" s="1"/>
  <c r="AF11" i="2" s="1"/>
  <c r="AF12" i="2" s="1"/>
  <c r="AF13" i="2" s="1"/>
  <c r="AF14" i="2" s="1"/>
  <c r="AF15" i="2" s="1"/>
  <c r="AF16" i="2"/>
  <c r="AF17" i="2"/>
  <c r="AF18" i="2"/>
  <c r="AI5" i="2"/>
  <c r="AI6" i="2" s="1"/>
  <c r="AI7" i="2" s="1"/>
  <c r="AI8" i="2" s="1"/>
  <c r="AI9" i="2" s="1"/>
  <c r="AI10" i="2" s="1"/>
  <c r="AI11" i="2" s="1"/>
  <c r="AI12" i="2" s="1"/>
  <c r="AI13" i="2" s="1"/>
  <c r="AI14" i="2" s="1"/>
  <c r="AI15" i="2" s="1"/>
  <c r="AI16" i="2" s="1"/>
  <c r="AI17" i="2" s="1"/>
  <c r="AI18" i="2" s="1"/>
  <c r="AI19" i="2" s="1"/>
  <c r="AI20" i="2" s="1"/>
  <c r="AI21" i="2" s="1"/>
  <c r="AI22" i="2" s="1"/>
  <c r="AI23" i="2" s="1"/>
  <c r="AI24" i="2" s="1"/>
  <c r="AI25" i="2" s="1"/>
  <c r="AI26" i="2" s="1"/>
  <c r="AI27" i="2" s="1"/>
  <c r="AI28" i="2" s="1"/>
  <c r="AI29" i="2" s="1"/>
  <c r="AI44" i="2"/>
  <c r="AI45" i="2"/>
  <c r="AL15" i="4"/>
  <c r="AL14" i="4"/>
  <c r="AL13" i="4"/>
  <c r="AL12" i="4"/>
  <c r="AL11" i="4"/>
  <c r="AL10" i="4"/>
  <c r="AL9" i="4"/>
  <c r="AL8" i="4"/>
  <c r="AL7" i="4"/>
  <c r="AL5" i="4"/>
  <c r="AL4" i="4"/>
  <c r="AL3" i="4"/>
  <c r="AI46" i="2"/>
  <c r="AI47" i="2"/>
  <c r="AI48" i="2"/>
  <c r="G52" i="2"/>
  <c r="G51" i="2"/>
  <c r="G50" i="2"/>
  <c r="G49" i="2"/>
  <c r="G48" i="2"/>
  <c r="G47" i="2"/>
  <c r="G46" i="2"/>
  <c r="G45" i="2"/>
  <c r="G44" i="2"/>
  <c r="G43" i="2"/>
  <c r="G42" i="2"/>
  <c r="G41" i="2"/>
  <c r="G40" i="2"/>
  <c r="G39" i="2"/>
  <c r="G38" i="2"/>
  <c r="G37" i="2"/>
  <c r="G36" i="2"/>
  <c r="G35" i="2"/>
  <c r="G34" i="2"/>
  <c r="G33" i="2"/>
  <c r="G32" i="2"/>
  <c r="G31" i="2"/>
  <c r="G30" i="2"/>
  <c r="G29" i="2"/>
  <c r="G28"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E3" i="2"/>
  <c r="BZ25" i="2"/>
  <c r="BZ24" i="2"/>
  <c r="BZ23" i="2"/>
  <c r="BZ22" i="2"/>
  <c r="BZ21" i="2"/>
  <c r="BZ20" i="2"/>
  <c r="BZ19" i="2"/>
  <c r="BZ18" i="2"/>
  <c r="BZ17" i="2"/>
  <c r="BZ16" i="2"/>
  <c r="BZ15" i="2"/>
  <c r="BZ4" i="2"/>
  <c r="BZ5" i="2"/>
  <c r="BZ6" i="2" s="1"/>
  <c r="BZ7" i="2" s="1"/>
  <c r="BZ8" i="2" s="1"/>
  <c r="BZ9" i="2" s="1"/>
  <c r="BZ10" i="2" s="1"/>
  <c r="BZ11" i="2" s="1"/>
  <c r="BZ12" i="2" s="1"/>
  <c r="BZ13" i="2" s="1"/>
  <c r="BZ14" i="2" s="1"/>
  <c r="AT4" i="2"/>
  <c r="AT5" i="2" s="1"/>
  <c r="AT6" i="2" s="1"/>
  <c r="AT7" i="2" s="1"/>
  <c r="AT8" i="2" s="1"/>
  <c r="BL34" i="2"/>
  <c r="BL35" i="2"/>
  <c r="BL36" i="2"/>
  <c r="BL37" i="2"/>
  <c r="BL38" i="2"/>
  <c r="BL39" i="2"/>
  <c r="BL40" i="2"/>
  <c r="BL41" i="2"/>
  <c r="BL42" i="2"/>
  <c r="BL43" i="2"/>
  <c r="BL44" i="2"/>
  <c r="BL45" i="2"/>
  <c r="BL46" i="2"/>
  <c r="BL47" i="2"/>
  <c r="BL48" i="2"/>
  <c r="BL49" i="2"/>
  <c r="BL50" i="2"/>
  <c r="BL51" i="2"/>
  <c r="BL52" i="2"/>
  <c r="BH4" i="2"/>
  <c r="BH5" i="2" s="1"/>
  <c r="BH6" i="2" s="1"/>
  <c r="BH7" i="2" s="1"/>
  <c r="BH8" i="2" s="1"/>
  <c r="BH9" i="2" s="1"/>
  <c r="BH10" i="2" s="1"/>
  <c r="BH11" i="2" s="1"/>
  <c r="BH12" i="2" s="1"/>
  <c r="BH13" i="2" s="1"/>
  <c r="BH14" i="2" s="1"/>
  <c r="BH15" i="2" s="1"/>
  <c r="BH16" i="2" s="1"/>
  <c r="BH17" i="2" s="1"/>
  <c r="BH18" i="2" s="1"/>
  <c r="BH19" i="2" s="1"/>
  <c r="BH20" i="2" s="1"/>
  <c r="BH21" i="2" s="1"/>
  <c r="BH22" i="2" s="1"/>
  <c r="BH23" i="2" s="1"/>
  <c r="BH24" i="2" s="1"/>
  <c r="BH25" i="2" s="1"/>
  <c r="BH26" i="2" s="1"/>
  <c r="BH27" i="2" s="1"/>
  <c r="BH28" i="2" s="1"/>
  <c r="BH29" i="2" s="1"/>
  <c r="AQ4" i="2"/>
  <c r="AQ5" i="2" s="1"/>
  <c r="AQ6" i="2" s="1"/>
  <c r="AQ7" i="2" s="1"/>
  <c r="AQ8" i="2" s="1"/>
  <c r="AQ9" i="2" s="1"/>
  <c r="AL25" i="2"/>
  <c r="AL24" i="2"/>
  <c r="AL23" i="2"/>
  <c r="AL22" i="2"/>
  <c r="AL21" i="2"/>
  <c r="AL20" i="2"/>
  <c r="AL19" i="2"/>
  <c r="AL18" i="2"/>
  <c r="AL17" i="2"/>
  <c r="AL16" i="2"/>
  <c r="AL15" i="2"/>
  <c r="AL4" i="2"/>
  <c r="AL5" i="2" s="1"/>
  <c r="AL6" i="2" s="1"/>
  <c r="Y4" i="2"/>
  <c r="B4" i="2"/>
  <c r="A4" i="2" s="1"/>
  <c r="B12" i="4" s="1"/>
  <c r="N4" i="2"/>
  <c r="N21" i="2"/>
  <c r="N20" i="2"/>
  <c r="B26" i="2"/>
  <c r="A26" i="2" s="1"/>
  <c r="B25" i="2"/>
  <c r="A25" i="2" s="1"/>
  <c r="B24" i="2"/>
  <c r="A24" i="2" s="1"/>
  <c r="B23" i="2"/>
  <c r="A23" i="2" s="1"/>
  <c r="B22" i="2"/>
  <c r="A22" i="2" s="1"/>
  <c r="B21" i="2"/>
  <c r="A21" i="2" s="1"/>
  <c r="B20" i="2"/>
  <c r="A20" i="2" s="1"/>
  <c r="B19" i="2"/>
  <c r="A19" i="2" s="1"/>
  <c r="B18" i="2"/>
  <c r="A18" i="2" s="1"/>
  <c r="B17" i="2"/>
  <c r="A17" i="2" s="1"/>
  <c r="B16" i="2"/>
  <c r="A16" i="2" s="1"/>
  <c r="B15" i="2"/>
  <c r="A15" i="2" s="1"/>
  <c r="B14" i="2"/>
  <c r="A14" i="2" s="1"/>
  <c r="B13" i="2"/>
  <c r="A13" i="2" s="1"/>
  <c r="B12" i="2"/>
  <c r="A12" i="2" s="1"/>
  <c r="J4" i="2"/>
  <c r="J5" i="2" s="1"/>
  <c r="J6" i="2" s="1"/>
  <c r="J7" i="2" s="1"/>
  <c r="J8" i="2" s="1"/>
  <c r="J9" i="2" s="1"/>
  <c r="J10" i="2" s="1"/>
  <c r="J11" i="2" s="1"/>
  <c r="J12" i="2" s="1"/>
  <c r="J13" i="2" s="1"/>
  <c r="J14" i="2" s="1"/>
  <c r="J15" i="2" s="1"/>
  <c r="J16" i="2" s="1"/>
  <c r="J17" i="2" s="1"/>
  <c r="J18" i="2" s="1"/>
  <c r="J19" i="2" s="1"/>
  <c r="J20" i="2" s="1"/>
  <c r="J21" i="2" s="1"/>
  <c r="J22" i="2" s="1"/>
  <c r="J23" i="2" s="1"/>
  <c r="J24" i="2" s="1"/>
  <c r="J25" i="2" s="1"/>
  <c r="J26" i="2" s="1"/>
  <c r="J27" i="2" s="1"/>
  <c r="J28" i="2" s="1"/>
  <c r="J29" i="2" s="1"/>
  <c r="J30" i="2" s="1"/>
  <c r="J31" i="2" s="1"/>
  <c r="J32" i="2" s="1"/>
  <c r="J33" i="2" s="1"/>
  <c r="J34" i="2" s="1"/>
  <c r="J35" i="2" s="1"/>
  <c r="J36" i="2" s="1"/>
  <c r="J37" i="2" s="1"/>
  <c r="J38" i="2" s="1"/>
  <c r="J39" i="2" s="1"/>
  <c r="J40" i="2" s="1"/>
  <c r="J41" i="2" s="1"/>
  <c r="J42" i="2" s="1"/>
  <c r="J43" i="2" s="1"/>
  <c r="J44" i="2" s="1"/>
  <c r="J45" i="2" s="1"/>
  <c r="J46" i="2" s="1"/>
  <c r="J47" i="2" s="1"/>
  <c r="J48" i="2" s="1"/>
  <c r="J49" i="2" s="1"/>
  <c r="J50" i="2" s="1"/>
  <c r="J51" i="2" s="1"/>
  <c r="J52" i="2" s="1"/>
  <c r="N5" i="2"/>
  <c r="Y5" i="2"/>
  <c r="AI49" i="2"/>
  <c r="AQ25" i="2"/>
  <c r="B5" i="2"/>
  <c r="A5" i="2" s="1"/>
  <c r="N6" i="2"/>
  <c r="N7" i="2" s="1"/>
  <c r="N8" i="2" s="1"/>
  <c r="N9" i="2" s="1"/>
  <c r="N10" i="2" s="1"/>
  <c r="N11" i="2" s="1"/>
  <c r="N12" i="2" s="1"/>
  <c r="N13" i="2" s="1"/>
  <c r="N14" i="2" s="1"/>
  <c r="N15" i="2" s="1"/>
  <c r="N16" i="2" s="1"/>
  <c r="N17" i="2" s="1"/>
  <c r="N18" i="2" s="1"/>
  <c r="N19" i="2" s="1"/>
  <c r="AT9" i="2"/>
  <c r="AT10" i="2"/>
  <c r="Y6" i="2"/>
  <c r="AI50" i="2"/>
  <c r="AQ26" i="2"/>
  <c r="G16" i="2"/>
  <c r="Y7" i="2"/>
  <c r="AT11" i="2"/>
  <c r="AT12" i="2"/>
  <c r="AT13" i="2"/>
  <c r="Y8" i="2"/>
  <c r="B7" i="2"/>
  <c r="A7" i="2" s="1"/>
  <c r="AI51" i="2"/>
  <c r="AQ27" i="2"/>
  <c r="AI30" i="2"/>
  <c r="AI31" i="2"/>
  <c r="AI32" i="2"/>
  <c r="AT14" i="2"/>
  <c r="AT15" i="2"/>
  <c r="AT16" i="2"/>
  <c r="AT17" i="2"/>
  <c r="AT18" i="2"/>
  <c r="AT19" i="2"/>
  <c r="AT20" i="2"/>
  <c r="AT21" i="2"/>
  <c r="AT22" i="2"/>
  <c r="AT23" i="2"/>
  <c r="AT24" i="2"/>
  <c r="AT25" i="2"/>
  <c r="AT26" i="2"/>
  <c r="AT27" i="2"/>
  <c r="AT28" i="2"/>
  <c r="AT29"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B8" i="2"/>
  <c r="A8" i="2" s="1"/>
  <c r="AI52" i="2"/>
  <c r="AQ28" i="2"/>
  <c r="AI33" i="2"/>
  <c r="AT30" i="2"/>
  <c r="AT31" i="2"/>
  <c r="AT32" i="2"/>
  <c r="AT33" i="2"/>
  <c r="AT34" i="2"/>
  <c r="B9" i="2"/>
  <c r="A9" i="2" s="1"/>
  <c r="AI53" i="2"/>
  <c r="AQ29" i="2"/>
  <c r="AQ10" i="2"/>
  <c r="AI34" i="2"/>
  <c r="AI35" i="2"/>
  <c r="AT35" i="2"/>
  <c r="AT36" i="2"/>
  <c r="AT37" i="2"/>
  <c r="AT38" i="2"/>
  <c r="AT39" i="2"/>
  <c r="AT40" i="2"/>
  <c r="AT41" i="2"/>
  <c r="AT42" i="2"/>
  <c r="B10" i="2"/>
  <c r="A10" i="2" s="1"/>
  <c r="AI54" i="2"/>
  <c r="AQ30" i="2"/>
  <c r="AQ31" i="2"/>
  <c r="AQ32" i="2"/>
  <c r="B11" i="2"/>
  <c r="A11" i="2" s="1"/>
  <c r="G19" i="2" s="1"/>
  <c r="AQ11" i="2"/>
  <c r="AI36" i="2"/>
  <c r="AI37" i="2"/>
  <c r="AI38" i="2"/>
  <c r="AI39" i="2"/>
  <c r="AI40" i="2"/>
  <c r="AI41" i="2"/>
  <c r="AI42" i="2"/>
  <c r="AI43" i="2"/>
  <c r="AQ33" i="2"/>
  <c r="AQ34" i="2"/>
  <c r="AQ35" i="2"/>
  <c r="AQ36" i="2"/>
  <c r="AQ37" i="2"/>
  <c r="AQ38" i="2"/>
  <c r="AQ39" i="2"/>
  <c r="AQ40" i="2"/>
  <c r="AQ41" i="2"/>
  <c r="AQ42" i="2"/>
  <c r="AQ43" i="2"/>
  <c r="AI55" i="2"/>
  <c r="G8" i="2"/>
  <c r="B10" i="4"/>
  <c r="AQ12" i="2"/>
  <c r="AQ13" i="2"/>
  <c r="AQ14" i="2"/>
  <c r="AQ15" i="2"/>
  <c r="AQ16" i="2"/>
  <c r="AQ17" i="2"/>
  <c r="AQ18" i="2"/>
  <c r="AQ19" i="2"/>
  <c r="AQ20" i="2"/>
  <c r="AQ21" i="2"/>
  <c r="AQ22" i="2"/>
  <c r="AQ23" i="2"/>
  <c r="AQ24" i="2"/>
  <c r="AI56" i="2"/>
  <c r="G3" i="2"/>
  <c r="G5" i="2"/>
  <c r="B4" i="4"/>
  <c r="G6" i="2"/>
  <c r="G12" i="2"/>
  <c r="B11" i="4"/>
  <c r="G9" i="2"/>
  <c r="B13" i="4"/>
  <c r="G7" i="2"/>
  <c r="G4" i="2"/>
  <c r="U41" i="2" l="1"/>
  <c r="U42" i="2" s="1"/>
  <c r="U43" i="2" s="1"/>
  <c r="U44" i="2" s="1"/>
  <c r="U45" i="2" s="1"/>
  <c r="U46" i="2" s="1"/>
  <c r="U47" i="2" s="1"/>
  <c r="U48" i="2" s="1"/>
  <c r="U49" i="2" s="1"/>
  <c r="U50" i="2" s="1"/>
  <c r="U51" i="2" s="1"/>
  <c r="U52" i="2" s="1"/>
  <c r="U53" i="2" s="1"/>
  <c r="U54" i="2" s="1"/>
  <c r="U55" i="2" s="1"/>
  <c r="U56" i="2" s="1"/>
  <c r="U57" i="2" s="1"/>
  <c r="U58" i="2" s="1"/>
  <c r="U59" i="2" s="1"/>
  <c r="U60" i="2" s="1"/>
  <c r="U61" i="2" s="1"/>
  <c r="U62" i="2" s="1"/>
  <c r="U63" i="2" s="1"/>
  <c r="U64" i="2" s="1"/>
  <c r="U65" i="2" s="1"/>
  <c r="U66" i="2" s="1"/>
  <c r="U67" i="2" s="1"/>
  <c r="U68" i="2" s="1"/>
  <c r="U69" i="2" s="1"/>
  <c r="U70" i="2" s="1"/>
  <c r="U71" i="2" s="1"/>
  <c r="U72" i="2" s="1"/>
  <c r="U73" i="2" s="1"/>
  <c r="U74" i="2" s="1"/>
  <c r="U75" i="2" s="1"/>
  <c r="U76" i="2" s="1"/>
  <c r="U77" i="2" s="1"/>
  <c r="U78" i="2" s="1"/>
  <c r="F9" i="4"/>
  <c r="AL7" i="2"/>
  <c r="H3" i="4"/>
  <c r="H41" i="20"/>
  <c r="H39" i="20"/>
  <c r="H37" i="20"/>
  <c r="H20" i="20"/>
  <c r="H18" i="20"/>
  <c r="H16" i="20"/>
  <c r="H56" i="20"/>
  <c r="H54" i="20"/>
  <c r="H52" i="20"/>
  <c r="H30" i="20"/>
  <c r="H28" i="20"/>
  <c r="H26" i="20"/>
  <c r="H25" i="20"/>
  <c r="H4" i="19"/>
  <c r="H40" i="20"/>
  <c r="H38" i="20"/>
  <c r="H36" i="20"/>
  <c r="H19" i="20"/>
  <c r="H17" i="20"/>
  <c r="H57" i="20"/>
  <c r="H55" i="20"/>
  <c r="H53" i="20"/>
  <c r="H31" i="20"/>
  <c r="H29" i="20"/>
  <c r="H27" i="20"/>
  <c r="H15" i="20"/>
  <c r="F13" i="4"/>
  <c r="F11" i="4"/>
  <c r="F8" i="4"/>
  <c r="F4" i="4"/>
  <c r="F12" i="4"/>
  <c r="F10" i="4"/>
  <c r="F15" i="4"/>
  <c r="F7" i="4"/>
  <c r="F14" i="4"/>
  <c r="B14" i="4"/>
  <c r="B8" i="4"/>
  <c r="G11" i="2"/>
  <c r="B5" i="4"/>
  <c r="G10" i="2"/>
  <c r="G15" i="2"/>
  <c r="C51" i="20"/>
  <c r="C49" i="20"/>
  <c r="C41" i="20"/>
  <c r="C39" i="20"/>
  <c r="C37" i="20"/>
  <c r="C20" i="20"/>
  <c r="C18" i="20"/>
  <c r="C16" i="20"/>
  <c r="C56" i="20"/>
  <c r="C54" i="20"/>
  <c r="C52" i="20"/>
  <c r="C30" i="20"/>
  <c r="C28" i="20"/>
  <c r="C26" i="20"/>
  <c r="C25" i="20"/>
  <c r="B51" i="20"/>
  <c r="B49" i="20"/>
  <c r="B41" i="20"/>
  <c r="B39" i="20"/>
  <c r="B37" i="20"/>
  <c r="B20" i="20"/>
  <c r="B18" i="20"/>
  <c r="B16" i="20"/>
  <c r="B56" i="20"/>
  <c r="B54" i="20"/>
  <c r="B52" i="20"/>
  <c r="B30" i="20"/>
  <c r="B28" i="20"/>
  <c r="B26" i="20"/>
  <c r="B25" i="20"/>
  <c r="C50" i="20"/>
  <c r="C48" i="20"/>
  <c r="C40" i="20"/>
  <c r="C38" i="20"/>
  <c r="C36" i="20"/>
  <c r="C19" i="20"/>
  <c r="C17" i="20"/>
  <c r="C57" i="20"/>
  <c r="C4" i="19"/>
  <c r="B50" i="20"/>
  <c r="B48" i="20"/>
  <c r="B40" i="20"/>
  <c r="B38" i="20"/>
  <c r="B36" i="20"/>
  <c r="B19" i="20"/>
  <c r="B17" i="20"/>
  <c r="B57" i="20"/>
  <c r="C55" i="20"/>
  <c r="C53" i="20"/>
  <c r="C31" i="20"/>
  <c r="C29" i="20"/>
  <c r="C27" i="20"/>
  <c r="C15" i="20"/>
  <c r="B55" i="20"/>
  <c r="B53" i="20"/>
  <c r="B31" i="20"/>
  <c r="B29" i="20"/>
  <c r="B27" i="20"/>
  <c r="B15" i="20"/>
  <c r="B4" i="19"/>
  <c r="W2" i="20"/>
  <c r="W2" i="19"/>
  <c r="H2" i="20"/>
  <c r="H2" i="19"/>
  <c r="M1" i="2"/>
  <c r="Q2" i="20"/>
  <c r="Q2" i="19"/>
  <c r="W1" i="2"/>
  <c r="AB2" i="20"/>
  <c r="AB2" i="19"/>
  <c r="AV1" i="2"/>
  <c r="AG2" i="20"/>
  <c r="AG2" i="19"/>
  <c r="AS2" i="20"/>
  <c r="AS2" i="19"/>
  <c r="F5" i="4"/>
  <c r="B2" i="20"/>
  <c r="B2" i="19"/>
  <c r="E1" i="2"/>
  <c r="H2" i="2"/>
  <c r="M2" i="20"/>
  <c r="M2" i="19"/>
  <c r="AN1" i="2"/>
  <c r="S2" i="20"/>
  <c r="S2" i="19"/>
  <c r="AH1" i="2"/>
  <c r="Z2" i="20"/>
  <c r="Z2" i="19"/>
  <c r="AD2" i="20"/>
  <c r="AD2" i="19"/>
  <c r="K34" i="18"/>
  <c r="N34" i="18" s="1"/>
  <c r="I37" i="18"/>
  <c r="Y1" i="4" s="1"/>
  <c r="AP2" i="19"/>
  <c r="AP2" i="20"/>
  <c r="B9" i="4"/>
  <c r="B15" i="4"/>
  <c r="B3" i="4"/>
  <c r="B7" i="4"/>
  <c r="B6" i="2"/>
  <c r="A6" i="2" s="1"/>
  <c r="AQ2" i="20"/>
  <c r="AQ2" i="19"/>
  <c r="J2" i="20"/>
  <c r="J2" i="19"/>
  <c r="O2" i="20"/>
  <c r="O2" i="19"/>
  <c r="AA1" i="2"/>
  <c r="AA2" i="20"/>
  <c r="AA2" i="19"/>
  <c r="AK2" i="20"/>
  <c r="AK2" i="19"/>
  <c r="BL1" i="2"/>
  <c r="AN2" i="20"/>
  <c r="AN2" i="19"/>
  <c r="D54" i="18"/>
  <c r="F49" i="18"/>
  <c r="I49" i="18" s="1"/>
  <c r="AL1" i="4" s="1"/>
  <c r="AS1" i="2"/>
  <c r="P10" i="4" s="1"/>
  <c r="P1" i="4"/>
  <c r="AH2" i="20"/>
  <c r="AH2" i="19"/>
  <c r="BD1" i="2"/>
  <c r="E2" i="20"/>
  <c r="E2" i="19"/>
  <c r="K2" i="20"/>
  <c r="K2" i="19"/>
  <c r="F30" i="18"/>
  <c r="I30" i="18" s="1"/>
  <c r="N1" i="4" s="1"/>
  <c r="D32" i="18"/>
  <c r="AF2" i="20"/>
  <c r="AF2" i="19"/>
  <c r="AL2" i="20"/>
  <c r="AL2" i="19"/>
  <c r="AU2" i="20"/>
  <c r="AU2" i="19"/>
  <c r="CB1" i="2"/>
  <c r="AH51" i="20"/>
  <c r="AH49" i="20"/>
  <c r="AH41" i="20"/>
  <c r="AH39" i="20"/>
  <c r="AH37" i="20"/>
  <c r="AH18" i="20"/>
  <c r="AH16" i="20"/>
  <c r="AH54" i="20"/>
  <c r="AH52" i="20"/>
  <c r="AH28" i="20"/>
  <c r="AH26" i="20"/>
  <c r="AH25" i="20"/>
  <c r="AH50" i="20"/>
  <c r="AH48" i="20"/>
  <c r="AH40" i="20"/>
  <c r="AH38" i="20"/>
  <c r="AH36" i="20"/>
  <c r="AH19" i="20"/>
  <c r="AH17" i="20"/>
  <c r="AH55" i="20"/>
  <c r="AH53" i="20"/>
  <c r="AH29" i="20"/>
  <c r="AH27" i="20"/>
  <c r="BF7" i="2"/>
  <c r="AR2" i="20"/>
  <c r="AR2" i="19"/>
  <c r="AO2" i="20"/>
  <c r="AO2" i="19"/>
  <c r="AT2" i="20"/>
  <c r="AT2" i="19"/>
  <c r="AV2" i="20"/>
  <c r="AV2" i="19"/>
  <c r="AZ2" i="19"/>
  <c r="AZ2" i="20"/>
  <c r="A1" i="20"/>
  <c r="A1" i="19"/>
  <c r="BQ1" i="2"/>
  <c r="D41" i="18"/>
  <c r="BA2" i="20"/>
  <c r="BA2" i="19"/>
  <c r="AM2" i="19"/>
  <c r="AM2" i="20"/>
  <c r="BN2" i="20"/>
  <c r="BC2" i="20"/>
  <c r="BG2" i="20"/>
  <c r="BK2" i="20"/>
  <c r="BF2" i="20"/>
  <c r="P5" i="4"/>
  <c r="P13" i="4"/>
  <c r="P14" i="4"/>
  <c r="P8" i="4"/>
  <c r="BD2" i="20"/>
  <c r="BH2" i="20"/>
  <c r="BL2" i="20"/>
  <c r="BJ2" i="20"/>
  <c r="P15" i="4"/>
  <c r="P11" i="4"/>
  <c r="P9" i="4"/>
  <c r="P7" i="4"/>
  <c r="BE2" i="20"/>
  <c r="BI2" i="20"/>
  <c r="BM2" i="20"/>
  <c r="S51" i="20"/>
  <c r="S49" i="20"/>
  <c r="S41" i="20"/>
  <c r="S39" i="20"/>
  <c r="S37" i="20"/>
  <c r="S20" i="20"/>
  <c r="S18" i="20"/>
  <c r="S16" i="20"/>
  <c r="S56" i="20"/>
  <c r="S54" i="20"/>
  <c r="S52" i="20"/>
  <c r="S30" i="20"/>
  <c r="S28" i="20"/>
  <c r="S26" i="20"/>
  <c r="S25" i="20"/>
  <c r="S50" i="20"/>
  <c r="S48" i="20"/>
  <c r="S40" i="20"/>
  <c r="S38" i="20"/>
  <c r="S36" i="20"/>
  <c r="S19" i="20"/>
  <c r="S17" i="20"/>
  <c r="S57" i="20"/>
  <c r="S29" i="20"/>
  <c r="S27" i="20"/>
  <c r="S55" i="20"/>
  <c r="S53" i="20"/>
  <c r="S31" i="20"/>
  <c r="S15" i="20"/>
  <c r="Q11" i="2"/>
  <c r="Q75" i="2"/>
  <c r="Q139" i="2"/>
  <c r="Q138" i="2"/>
  <c r="Q122" i="2"/>
  <c r="Q106" i="2"/>
  <c r="Q90" i="2"/>
  <c r="Q74" i="2"/>
  <c r="Q58" i="2"/>
  <c r="Q42" i="2"/>
  <c r="Q26" i="2"/>
  <c r="Q10" i="2"/>
  <c r="Q141" i="2"/>
  <c r="Q125" i="2"/>
  <c r="Q109" i="2"/>
  <c r="Q93" i="2"/>
  <c r="Q77" i="2"/>
  <c r="Q61" i="2"/>
  <c r="Q45" i="2"/>
  <c r="Q29" i="2"/>
  <c r="Q13" i="2"/>
  <c r="Q148" i="2"/>
  <c r="Q132" i="2"/>
  <c r="Q116" i="2"/>
  <c r="Q100" i="2"/>
  <c r="Q84" i="2"/>
  <c r="Q68" i="2"/>
  <c r="Q52" i="2"/>
  <c r="Q34" i="2"/>
  <c r="Q20" i="2"/>
  <c r="Q4" i="2"/>
  <c r="Q50" i="20"/>
  <c r="Q48" i="20"/>
  <c r="Q40" i="20"/>
  <c r="Q38" i="20"/>
  <c r="Q36" i="20"/>
  <c r="Q19" i="20"/>
  <c r="Q17" i="20"/>
  <c r="Q57" i="20"/>
  <c r="Q55" i="20"/>
  <c r="Q53" i="20"/>
  <c r="Q31" i="20"/>
  <c r="Q51" i="20"/>
  <c r="Q49" i="20"/>
  <c r="Q41" i="20"/>
  <c r="Q39" i="20"/>
  <c r="Q37" i="20"/>
  <c r="Q20" i="20"/>
  <c r="Q18" i="20"/>
  <c r="Q16" i="20"/>
  <c r="Q56" i="20"/>
  <c r="Q54" i="20"/>
  <c r="Q52" i="20"/>
  <c r="Q30" i="20"/>
  <c r="Q28" i="20"/>
  <c r="Q26" i="20"/>
  <c r="Q25" i="20"/>
  <c r="Q29" i="20"/>
  <c r="Q27" i="20"/>
  <c r="Q15" i="20"/>
  <c r="Q27" i="2"/>
  <c r="Q91" i="2"/>
  <c r="O50" i="20"/>
  <c r="O48" i="20"/>
  <c r="O40" i="20"/>
  <c r="O38" i="20"/>
  <c r="O36" i="20"/>
  <c r="O19" i="20"/>
  <c r="O17" i="20"/>
  <c r="O57" i="20"/>
  <c r="O55" i="20"/>
  <c r="O53" i="20"/>
  <c r="O31" i="20"/>
  <c r="O29" i="20"/>
  <c r="O27" i="20"/>
  <c r="O15" i="20"/>
  <c r="O51" i="20"/>
  <c r="O49" i="20"/>
  <c r="O41" i="20"/>
  <c r="O39" i="20"/>
  <c r="O37" i="20"/>
  <c r="O20" i="20"/>
  <c r="O18" i="20"/>
  <c r="O16" i="20"/>
  <c r="O56" i="20"/>
  <c r="O54" i="20"/>
  <c r="O52" i="20"/>
  <c r="O30" i="20"/>
  <c r="O28" i="20"/>
  <c r="O26" i="20"/>
  <c r="O25" i="20"/>
  <c r="M51" i="20"/>
  <c r="M49" i="20"/>
  <c r="M41" i="20"/>
  <c r="M39" i="20"/>
  <c r="M37" i="20"/>
  <c r="M20" i="20"/>
  <c r="M18" i="20"/>
  <c r="M16" i="20"/>
  <c r="M56" i="20"/>
  <c r="M54" i="20"/>
  <c r="M52" i="20"/>
  <c r="M50" i="20"/>
  <c r="M48" i="20"/>
  <c r="M40" i="20"/>
  <c r="M38" i="20"/>
  <c r="M36" i="20"/>
  <c r="M19" i="20"/>
  <c r="M17" i="20"/>
  <c r="M57" i="20"/>
  <c r="M15" i="20"/>
  <c r="M53" i="20"/>
  <c r="M29" i="20"/>
  <c r="M30" i="20"/>
  <c r="M26" i="20"/>
  <c r="M25" i="20"/>
  <c r="M55" i="20"/>
  <c r="M31" i="20"/>
  <c r="M27" i="20"/>
  <c r="M28" i="20"/>
  <c r="AV50" i="20"/>
  <c r="AV48" i="20"/>
  <c r="AV40" i="20"/>
  <c r="AV38" i="20"/>
  <c r="AV36" i="20"/>
  <c r="AV19" i="20"/>
  <c r="AV17" i="20"/>
  <c r="AV57" i="20"/>
  <c r="AV55" i="20"/>
  <c r="AV53" i="20"/>
  <c r="AV31" i="20"/>
  <c r="AV51" i="20"/>
  <c r="AV49" i="20"/>
  <c r="AV41" i="20"/>
  <c r="AV39" i="20"/>
  <c r="AV37" i="20"/>
  <c r="AV20" i="20"/>
  <c r="AV18" i="20"/>
  <c r="AV16" i="20"/>
  <c r="AV56" i="20"/>
  <c r="AV25" i="20"/>
  <c r="AV54" i="20"/>
  <c r="AV52" i="20"/>
  <c r="AV30" i="20"/>
  <c r="AV29" i="20"/>
  <c r="AV28" i="20"/>
  <c r="AV27" i="20"/>
  <c r="AV26" i="20"/>
  <c r="AV15" i="20"/>
  <c r="Q43" i="2"/>
  <c r="Q107" i="2"/>
  <c r="Q146" i="2"/>
  <c r="Q130" i="2"/>
  <c r="Q114" i="2"/>
  <c r="Q98" i="2"/>
  <c r="Q82" i="2"/>
  <c r="Q66" i="2"/>
  <c r="Q50" i="2"/>
  <c r="Q36" i="2"/>
  <c r="Q18" i="2"/>
  <c r="Q149" i="2"/>
  <c r="Q133" i="2"/>
  <c r="Q117" i="2"/>
  <c r="Q101" i="2"/>
  <c r="Q85" i="2"/>
  <c r="Q69" i="2"/>
  <c r="Q53" i="2"/>
  <c r="Q33" i="2"/>
  <c r="Q21" i="2"/>
  <c r="Q5" i="2"/>
  <c r="Q140" i="2"/>
  <c r="Q124" i="2"/>
  <c r="Q108" i="2"/>
  <c r="Q92" i="2"/>
  <c r="Q76" i="2"/>
  <c r="Q60" i="2"/>
  <c r="Q44" i="2"/>
  <c r="Q28" i="2"/>
  <c r="Q12" i="2"/>
  <c r="Q150" i="2"/>
  <c r="Q59" i="2"/>
  <c r="Q123" i="2"/>
  <c r="BF2" i="19"/>
  <c r="O4" i="19"/>
  <c r="AV38" i="19"/>
  <c r="AV37" i="19"/>
  <c r="AV35" i="19"/>
  <c r="AV44" i="19"/>
  <c r="AV43" i="19"/>
  <c r="AV29" i="19"/>
  <c r="AV27" i="19"/>
  <c r="AV22" i="19"/>
  <c r="AV19" i="19"/>
  <c r="AV17" i="19"/>
  <c r="AV15" i="19"/>
  <c r="AV36" i="19"/>
  <c r="AV30" i="19"/>
  <c r="AV28" i="19"/>
  <c r="AV21" i="19"/>
  <c r="AV20" i="19"/>
  <c r="AV18" i="19"/>
  <c r="AV16" i="19"/>
  <c r="AV4" i="19"/>
  <c r="AJ9" i="4"/>
  <c r="J4" i="4"/>
  <c r="J8" i="4"/>
  <c r="J11" i="4"/>
  <c r="J13" i="4"/>
  <c r="BC2" i="19"/>
  <c r="BG2" i="19"/>
  <c r="BK2" i="19"/>
  <c r="Q15" i="2"/>
  <c r="Q31" i="2"/>
  <c r="Q47" i="2"/>
  <c r="Q63" i="2"/>
  <c r="Q79" i="2"/>
  <c r="Q95" i="2"/>
  <c r="Q111" i="2"/>
  <c r="Q127" i="2"/>
  <c r="Q143" i="2"/>
  <c r="AJ7" i="4"/>
  <c r="AJ15" i="4"/>
  <c r="BN2" i="19"/>
  <c r="M4" i="19"/>
  <c r="J14" i="4"/>
  <c r="BD2" i="19"/>
  <c r="BH2" i="19"/>
  <c r="BL2" i="19"/>
  <c r="S4" i="19"/>
  <c r="Q3" i="2"/>
  <c r="Q19" i="2"/>
  <c r="Q35" i="2"/>
  <c r="Q51" i="2"/>
  <c r="Q67" i="2"/>
  <c r="Q83" i="2"/>
  <c r="Q99" i="2"/>
  <c r="Q115" i="2"/>
  <c r="Q131" i="2"/>
  <c r="Q147" i="2"/>
  <c r="AJ3" i="4"/>
  <c r="AJ10" i="4"/>
  <c r="AJ12" i="4"/>
  <c r="BJ2" i="19"/>
  <c r="AJ5" i="4"/>
  <c r="AJ14" i="4"/>
  <c r="J5" i="4"/>
  <c r="J9" i="4"/>
  <c r="J3" i="4"/>
  <c r="J7" i="4"/>
  <c r="J15" i="4"/>
  <c r="BE2" i="19"/>
  <c r="BI2" i="19"/>
  <c r="BM2" i="19"/>
  <c r="Q4" i="19"/>
  <c r="Q7" i="2"/>
  <c r="Q23" i="2"/>
  <c r="Q39" i="2"/>
  <c r="Q55" i="2"/>
  <c r="Q71" i="2"/>
  <c r="Q87" i="2"/>
  <c r="Q103" i="2"/>
  <c r="Q119" i="2"/>
  <c r="Q135" i="2"/>
  <c r="AJ4" i="4"/>
  <c r="AJ8" i="4"/>
  <c r="AJ11" i="4"/>
  <c r="AJ13" i="4"/>
  <c r="G26" i="2"/>
  <c r="G23" i="2"/>
  <c r="G14" i="2"/>
  <c r="G20" i="2"/>
  <c r="G24" i="2"/>
  <c r="G27" i="2"/>
  <c r="G13" i="2"/>
  <c r="G17" i="2"/>
  <c r="G18" i="2"/>
  <c r="G21" i="2"/>
  <c r="G25" i="2"/>
  <c r="G22" i="2"/>
  <c r="AJ2" i="20" l="1"/>
  <c r="AJ2" i="19"/>
  <c r="BH1" i="2"/>
  <c r="J10" i="4"/>
  <c r="J12" i="4"/>
  <c r="AX2" i="20"/>
  <c r="AX2" i="19"/>
  <c r="BU1" i="2"/>
  <c r="L4" i="4"/>
  <c r="L11" i="4"/>
  <c r="L10" i="4"/>
  <c r="L14" i="4"/>
  <c r="L3" i="4"/>
  <c r="L7" i="4"/>
  <c r="L9" i="4"/>
  <c r="L8" i="4"/>
  <c r="L13" i="4"/>
  <c r="L12" i="4"/>
  <c r="L5" i="4"/>
  <c r="L15" i="4"/>
  <c r="AH20" i="20"/>
  <c r="AH30" i="20"/>
  <c r="AH57" i="20"/>
  <c r="AH4" i="19"/>
  <c r="AH31" i="20"/>
  <c r="AH15" i="20"/>
  <c r="W12" i="4"/>
  <c r="W10" i="4"/>
  <c r="U2" i="20"/>
  <c r="U2" i="19"/>
  <c r="AE1" i="2"/>
  <c r="P3" i="4"/>
  <c r="P12" i="4"/>
  <c r="P4" i="4"/>
  <c r="R8" i="4"/>
  <c r="R12" i="4"/>
  <c r="R15" i="4"/>
  <c r="R13" i="4"/>
  <c r="R3" i="4"/>
  <c r="R7" i="4"/>
  <c r="R14" i="4"/>
  <c r="R10" i="4"/>
  <c r="R5" i="4"/>
  <c r="R11" i="4"/>
  <c r="R4" i="4"/>
  <c r="R9" i="4"/>
  <c r="AL8" i="2"/>
  <c r="Q151" i="2"/>
  <c r="Q32" i="2"/>
  <c r="Q64" i="2"/>
  <c r="Q96" i="2"/>
  <c r="Q128" i="2"/>
  <c r="Q9" i="2"/>
  <c r="Q41" i="2"/>
  <c r="Q73" i="2"/>
  <c r="Q105" i="2"/>
  <c r="Q137" i="2"/>
  <c r="Q22" i="2"/>
  <c r="Q54" i="2"/>
  <c r="Q86" i="2"/>
  <c r="Q118" i="2"/>
  <c r="Q8" i="2"/>
  <c r="Q40" i="2"/>
  <c r="Q72" i="2"/>
  <c r="Q104" i="2"/>
  <c r="Q136" i="2"/>
  <c r="Q17" i="2"/>
  <c r="Q49" i="2"/>
  <c r="Q81" i="2"/>
  <c r="Q113" i="2"/>
  <c r="Q145" i="2"/>
  <c r="Q30" i="2"/>
  <c r="Q62" i="2"/>
  <c r="Q94" i="2"/>
  <c r="Q126" i="2"/>
  <c r="Q16" i="2"/>
  <c r="Q48" i="2"/>
  <c r="Q80" i="2"/>
  <c r="Q112" i="2"/>
  <c r="Q144" i="2"/>
  <c r="Q25" i="2"/>
  <c r="Q57" i="2"/>
  <c r="Q89" i="2"/>
  <c r="Q121" i="2"/>
  <c r="Q6" i="2"/>
  <c r="Q38" i="2"/>
  <c r="Q70" i="2"/>
  <c r="Q102" i="2"/>
  <c r="Q134" i="2"/>
  <c r="Q24" i="2"/>
  <c r="Q88" i="2"/>
  <c r="Q65" i="2"/>
  <c r="Q46" i="2"/>
  <c r="Q120" i="2"/>
  <c r="Q97" i="2"/>
  <c r="Q78" i="2"/>
  <c r="Q129" i="2"/>
  <c r="Q110" i="2"/>
  <c r="Q56" i="2"/>
  <c r="Q37" i="2"/>
  <c r="Q14" i="2"/>
  <c r="Q142" i="2"/>
  <c r="U79" i="2"/>
  <c r="U80" i="2" s="1"/>
  <c r="U81" i="2" s="1"/>
  <c r="U82" i="2" s="1"/>
  <c r="U83" i="2" s="1"/>
  <c r="U84" i="2" s="1"/>
  <c r="U85" i="2" l="1"/>
  <c r="U86" i="2" s="1"/>
  <c r="U87" i="2" s="1"/>
  <c r="U88" i="2" s="1"/>
  <c r="U89" i="2" s="1"/>
  <c r="U90" i="2" s="1"/>
  <c r="U91" i="2" s="1"/>
  <c r="U92" i="2" s="1"/>
  <c r="AL9" i="2"/>
  <c r="N4" i="4"/>
  <c r="N3" i="4"/>
  <c r="N11" i="4"/>
  <c r="N15" i="4"/>
  <c r="N10" i="4"/>
  <c r="N13" i="4"/>
  <c r="U51" i="20"/>
  <c r="U37" i="20"/>
  <c r="U56" i="20"/>
  <c r="U48" i="20"/>
  <c r="U19" i="20"/>
  <c r="U29" i="20"/>
  <c r="U55" i="20"/>
  <c r="N12" i="4"/>
  <c r="N5" i="4"/>
  <c r="N9" i="4"/>
  <c r="U49" i="20"/>
  <c r="U20" i="20"/>
  <c r="U54" i="20"/>
  <c r="U40" i="20"/>
  <c r="U17" i="20"/>
  <c r="U28" i="20"/>
  <c r="U53" i="20"/>
  <c r="U25" i="20"/>
  <c r="N7" i="4"/>
  <c r="N14" i="4"/>
  <c r="U41" i="20"/>
  <c r="U18" i="20"/>
  <c r="U52" i="20"/>
  <c r="U38" i="20"/>
  <c r="U57" i="20"/>
  <c r="U27" i="20"/>
  <c r="U31" i="20"/>
  <c r="U4" i="19"/>
  <c r="N8" i="4"/>
  <c r="U39" i="20"/>
  <c r="U16" i="20"/>
  <c r="U50" i="20"/>
  <c r="U36" i="20"/>
  <c r="U30" i="20"/>
  <c r="U26" i="20"/>
  <c r="U15" i="20"/>
  <c r="AL10" i="2" l="1"/>
  <c r="AL11" i="2" s="1"/>
  <c r="U93" i="2"/>
  <c r="U94" i="2" s="1"/>
  <c r="U95" i="2" s="1"/>
  <c r="U96" i="2" l="1"/>
  <c r="U97" i="2" s="1"/>
  <c r="U98" i="2" s="1"/>
  <c r="U99" i="2" s="1"/>
  <c r="U100" i="2" s="1"/>
  <c r="U101" i="2" s="1"/>
  <c r="U102" i="2" s="1"/>
  <c r="U103" i="2" s="1"/>
  <c r="U104" i="2" s="1"/>
  <c r="U105" i="2" s="1"/>
  <c r="U106" i="2" s="1"/>
  <c r="F3" i="4"/>
  <c r="AL12" i="2"/>
  <c r="H12" i="4"/>
  <c r="H15" i="4"/>
  <c r="H13" i="4"/>
  <c r="H14" i="4"/>
  <c r="H10" i="4"/>
  <c r="K41" i="20"/>
  <c r="K18" i="20"/>
  <c r="K52" i="20"/>
  <c r="K53" i="20"/>
  <c r="K26" i="20"/>
  <c r="K48" i="20"/>
  <c r="K19" i="20"/>
  <c r="K39" i="20"/>
  <c r="K16" i="20"/>
  <c r="K30" i="20"/>
  <c r="K31" i="20"/>
  <c r="K25" i="20"/>
  <c r="K40" i="20"/>
  <c r="K17" i="20"/>
  <c r="K51" i="20"/>
  <c r="K37" i="20"/>
  <c r="K56" i="20"/>
  <c r="K28" i="20"/>
  <c r="K29" i="20"/>
  <c r="K38" i="20"/>
  <c r="K57" i="20"/>
  <c r="K49" i="20"/>
  <c r="K20" i="20"/>
  <c r="K54" i="20"/>
  <c r="K55" i="20"/>
  <c r="K27" i="20"/>
  <c r="K50" i="20"/>
  <c r="K36" i="20"/>
  <c r="K15" i="20"/>
  <c r="A15" i="20" s="1"/>
  <c r="A16" i="20" s="1"/>
  <c r="K4" i="19"/>
  <c r="A17" i="20" l="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H8" i="4"/>
  <c r="H5" i="4"/>
  <c r="H9" i="4"/>
  <c r="H7" i="4"/>
  <c r="H4" i="4"/>
  <c r="H11" i="4"/>
  <c r="AL13" i="2"/>
  <c r="AL14" i="2" s="1"/>
  <c r="U107" i="2"/>
  <c r="U108" i="2" s="1"/>
  <c r="U109" i="2" s="1"/>
  <c r="U110" i="2" s="1"/>
  <c r="U111" i="2" s="1"/>
  <c r="U112" i="2" s="1"/>
  <c r="U113" i="2" s="1"/>
  <c r="U114" i="2" s="1"/>
  <c r="U115" i="2" l="1"/>
  <c r="U116" i="2" s="1"/>
  <c r="U117" i="2" s="1"/>
  <c r="U118" i="2" s="1"/>
  <c r="U119" i="2" s="1"/>
  <c r="U120" i="2" s="1"/>
  <c r="U121" i="2" s="1"/>
  <c r="U122" i="2" s="1"/>
  <c r="U123" i="2" l="1"/>
  <c r="U124" i="2" s="1"/>
  <c r="U125" i="2" s="1"/>
  <c r="U126" i="2" s="1"/>
  <c r="U127" i="2" s="1"/>
  <c r="U128" i="2" s="1"/>
  <c r="U129" i="2" s="1"/>
  <c r="U130" i="2" s="1"/>
  <c r="U131" i="2" s="1"/>
  <c r="U132" i="2" s="1"/>
  <c r="U133" i="2" s="1"/>
  <c r="U134" i="2" s="1"/>
  <c r="U135" i="2" s="1"/>
  <c r="U136" i="2" s="1"/>
  <c r="U137" i="2" s="1"/>
  <c r="U138" i="2" s="1"/>
  <c r="U139" i="2" s="1"/>
  <c r="U140" i="2" s="1"/>
  <c r="U141" i="2" s="1"/>
  <c r="U142" i="2" s="1"/>
  <c r="U143" i="2" s="1"/>
  <c r="U144" i="2" s="1"/>
  <c r="U145" i="2" s="1"/>
  <c r="H51" i="20"/>
  <c r="H48" i="20"/>
  <c r="A48" i="20" s="1"/>
  <c r="H49" i="20"/>
  <c r="H50" i="20"/>
  <c r="A49" i="20" l="1"/>
  <c r="A50" i="20" s="1"/>
  <c r="A51" i="20" s="1"/>
  <c r="A52" i="20" s="1"/>
  <c r="A53" i="20" s="1"/>
  <c r="A54" i="20" s="1"/>
  <c r="A55" i="20" s="1"/>
  <c r="A56" i="20" s="1"/>
  <c r="A57" i="20" s="1"/>
  <c r="A58" i="20" s="1"/>
  <c r="A59" i="20" s="1"/>
  <c r="A60" i="20" s="1"/>
  <c r="U146" i="2"/>
  <c r="U147" i="2" l="1"/>
  <c r="U148" i="2" s="1"/>
  <c r="U149" i="2" s="1"/>
  <c r="U150" i="2" l="1"/>
  <c r="U151" i="2" s="1"/>
</calcChain>
</file>

<file path=xl/sharedStrings.xml><?xml version="1.0" encoding="utf-8"?>
<sst xmlns="http://schemas.openxmlformats.org/spreadsheetml/2006/main" count="6459" uniqueCount="920">
  <si>
    <t>Ref</t>
  </si>
  <si>
    <t>Directorate</t>
  </si>
  <si>
    <t>Sub-Directorate</t>
  </si>
  <si>
    <t>Type</t>
  </si>
  <si>
    <t>Outcome</t>
  </si>
  <si>
    <t>Baseline</t>
  </si>
  <si>
    <t>POE</t>
  </si>
  <si>
    <t>R</t>
  </si>
  <si>
    <t>Input</t>
  </si>
  <si>
    <t>Operational</t>
  </si>
  <si>
    <t>G</t>
  </si>
  <si>
    <t>O</t>
  </si>
  <si>
    <t>Carry Over</t>
  </si>
  <si>
    <t>Output</t>
  </si>
  <si>
    <t>Accumulative</t>
  </si>
  <si>
    <t>Strategic</t>
  </si>
  <si>
    <t>NA</t>
  </si>
  <si>
    <t>National KPA</t>
  </si>
  <si>
    <t>Municipal KPA</t>
  </si>
  <si>
    <t>Unit of Measurement</t>
  </si>
  <si>
    <t>Annual Target</t>
  </si>
  <si>
    <t>Revised Target</t>
  </si>
  <si>
    <t>Q1</t>
  </si>
  <si>
    <t>Q2</t>
  </si>
  <si>
    <t>Q3</t>
  </si>
  <si>
    <t>Q4</t>
  </si>
  <si>
    <t>IDP Number</t>
  </si>
  <si>
    <t>Vote Number</t>
  </si>
  <si>
    <t>Project Description</t>
  </si>
  <si>
    <t>Actual Start Date</t>
  </si>
  <si>
    <t>Total</t>
  </si>
  <si>
    <t>Primary</t>
  </si>
  <si>
    <t>DirRef</t>
  </si>
  <si>
    <t>Dir Ref</t>
  </si>
  <si>
    <t>Sub Ref</t>
  </si>
  <si>
    <t>MK Ref</t>
  </si>
  <si>
    <t>Code</t>
  </si>
  <si>
    <t>NK Ref</t>
  </si>
  <si>
    <t>Municipal Transformation and Institutional Development</t>
  </si>
  <si>
    <t>Basic Service Delivery</t>
  </si>
  <si>
    <t>Local Economic Development</t>
  </si>
  <si>
    <t>Municipal Financial Viability and Management</t>
  </si>
  <si>
    <t>Good Governance and Public Participation</t>
  </si>
  <si>
    <t>MTID</t>
  </si>
  <si>
    <t>BSD</t>
  </si>
  <si>
    <t>LED</t>
  </si>
  <si>
    <t>MFVM</t>
  </si>
  <si>
    <t>GGPP</t>
  </si>
  <si>
    <t>National Outcome</t>
  </si>
  <si>
    <t>IDP Ref</t>
  </si>
  <si>
    <t>KC Ref</t>
  </si>
  <si>
    <t>Concept</t>
  </si>
  <si>
    <t>Activity</t>
  </si>
  <si>
    <t>Impact</t>
  </si>
  <si>
    <t>In</t>
  </si>
  <si>
    <t>Out</t>
  </si>
  <si>
    <t>OC</t>
  </si>
  <si>
    <t>Act</t>
  </si>
  <si>
    <t>Imp</t>
  </si>
  <si>
    <t>KT Ref</t>
  </si>
  <si>
    <t>Project</t>
  </si>
  <si>
    <t>Programme</t>
  </si>
  <si>
    <t>Reporting Requirement</t>
  </si>
  <si>
    <t>S</t>
  </si>
  <si>
    <t>P</t>
  </si>
  <si>
    <t>R Ref</t>
  </si>
  <si>
    <t>Rating</t>
  </si>
  <si>
    <t>Mun. Ref</t>
  </si>
  <si>
    <t>All</t>
  </si>
  <si>
    <t>Ward Name</t>
  </si>
  <si>
    <t>Area Name</t>
  </si>
  <si>
    <t>Driver</t>
  </si>
  <si>
    <t>Calculation Type</t>
  </si>
  <si>
    <t>Explanation</t>
  </si>
  <si>
    <t>CO</t>
  </si>
  <si>
    <t>ACC</t>
  </si>
  <si>
    <t>STD</t>
  </si>
  <si>
    <t>ZERO</t>
  </si>
  <si>
    <t>Stand-Alone</t>
  </si>
  <si>
    <t>Zero</t>
  </si>
  <si>
    <t>Not applicable</t>
  </si>
  <si>
    <t>Currency</t>
  </si>
  <si>
    <t>Percentage</t>
  </si>
  <si>
    <t>Number</t>
  </si>
  <si>
    <t>%</t>
  </si>
  <si>
    <t>#</t>
  </si>
  <si>
    <t>Nout Ref</t>
  </si>
  <si>
    <t>Mun CP Ref</t>
  </si>
  <si>
    <t>Funding Source</t>
  </si>
  <si>
    <t>FS Ref</t>
  </si>
  <si>
    <t>CRR</t>
  </si>
  <si>
    <t>Other</t>
  </si>
  <si>
    <t>Mun. Ref separated ;</t>
  </si>
  <si>
    <t>YYYY/MM/DD</t>
  </si>
  <si>
    <t>List</t>
  </si>
  <si>
    <t>Top Layer KPI Name</t>
  </si>
  <si>
    <t>Obj Ref</t>
  </si>
  <si>
    <t>Capital Project</t>
  </si>
  <si>
    <t>Capital Project Name</t>
  </si>
  <si>
    <t>Capital Project Directorate</t>
  </si>
  <si>
    <t>Risk Reg. Ref</t>
  </si>
  <si>
    <t>Past Year Performance</t>
  </si>
  <si>
    <t>KPI Owner</t>
  </si>
  <si>
    <t>40 characters</t>
  </si>
  <si>
    <t>100 characters</t>
  </si>
  <si>
    <t>65000 characters</t>
  </si>
  <si>
    <t>200 characters</t>
  </si>
  <si>
    <t>30 characters</t>
  </si>
  <si>
    <t>Mun Ref ;</t>
  </si>
  <si>
    <t>July</t>
  </si>
  <si>
    <t>August</t>
  </si>
  <si>
    <t>September</t>
  </si>
  <si>
    <t>October</t>
  </si>
  <si>
    <t>November</t>
  </si>
  <si>
    <t>December</t>
  </si>
  <si>
    <t>January</t>
  </si>
  <si>
    <t>February</t>
  </si>
  <si>
    <t>March</t>
  </si>
  <si>
    <t>April</t>
  </si>
  <si>
    <t>May</t>
  </si>
  <si>
    <t>June</t>
  </si>
  <si>
    <t>TOTAL</t>
  </si>
  <si>
    <t>X</t>
  </si>
  <si>
    <t>Revenue</t>
  </si>
  <si>
    <t>Operational Exp.</t>
  </si>
  <si>
    <t>Capital Exp.</t>
  </si>
  <si>
    <t>Line Item [R]</t>
  </si>
  <si>
    <t>Yes/No</t>
  </si>
  <si>
    <t>Targets &amp; Actuals carry over from one period to the next (% of project complete). The highest available Target and Actual is used to calculate the Overall Performance for the period.</t>
  </si>
  <si>
    <t>The system sums the Targets and Actuals in order to calculate the Overall Performance for the period.</t>
  </si>
  <si>
    <t>The system averages the Targets and Actuals over the number of targets greater than 0 in order to calculate the Overall Performance for the period.</t>
  </si>
  <si>
    <t>Actuals must be less than or equal to the Target and the Targets are 0. The system sums the Targets and Actuals in order to calculate the Overall Performance for the period.</t>
  </si>
  <si>
    <t>No calculation is done.</t>
  </si>
  <si>
    <t>Reverse Stand-Alone</t>
  </si>
  <si>
    <t>REV</t>
  </si>
  <si>
    <t>Actuals must be less than or equal to the Target and the Target is greater than 0. The system averages the Targets and Actuals over the number of targets greater than 0 in order to calculate the Overall Performance for the period.</t>
  </si>
  <si>
    <t xml:space="preserve"> </t>
  </si>
  <si>
    <t>Strategic Objective</t>
  </si>
  <si>
    <t>Own Funds</t>
  </si>
  <si>
    <t>Bulk Services Levy</t>
  </si>
  <si>
    <t>MIG</t>
  </si>
  <si>
    <t>External Loans</t>
  </si>
  <si>
    <t>Library Grant</t>
  </si>
  <si>
    <t>Rehabilitation Fund</t>
  </si>
  <si>
    <t>National Electrification Fund</t>
  </si>
  <si>
    <t>RBIG</t>
  </si>
  <si>
    <t>Reporting KPI</t>
  </si>
  <si>
    <t>Ward</t>
  </si>
  <si>
    <t>Housing</t>
  </si>
  <si>
    <t>Health</t>
  </si>
  <si>
    <t>Electricity</t>
  </si>
  <si>
    <t>Improve the quality of basic education</t>
  </si>
  <si>
    <t>Improve health and life expectancy</t>
  </si>
  <si>
    <t>All people in south Africa protected and feel safe</t>
  </si>
  <si>
    <t>Decent employment through inclusive economic growth</t>
  </si>
  <si>
    <t>A skilled and capable workforce to support inclusive growth</t>
  </si>
  <si>
    <t>An effective, competitive and responsive economic infrastructure network</t>
  </si>
  <si>
    <t>Vibrant, equitable and sustainable rural communities and food security</t>
  </si>
  <si>
    <t>Sustainable human settlements and improved quality of household life</t>
  </si>
  <si>
    <t>A responsive and accountable, effective and efficient local government system</t>
  </si>
  <si>
    <t>Protection and enhancement of environmental assets and natural resources</t>
  </si>
  <si>
    <t>A better South Africa, a better Africa and world</t>
  </si>
  <si>
    <t>A development-orientated public service and inclusive citizenship</t>
  </si>
  <si>
    <t>NDP Objective</t>
  </si>
  <si>
    <t>NDP Ref</t>
  </si>
  <si>
    <t>PDO</t>
  </si>
  <si>
    <t>PDO Ref</t>
  </si>
  <si>
    <t>MTAS Indicator</t>
  </si>
  <si>
    <t>500 characters</t>
  </si>
  <si>
    <t>Unspecified</t>
  </si>
  <si>
    <t>Reporting Category</t>
  </si>
  <si>
    <t>RC Ref</t>
  </si>
  <si>
    <t>Risk</t>
  </si>
  <si>
    <t>Risk Rating</t>
  </si>
  <si>
    <t>Value</t>
  </si>
  <si>
    <t>Pre-determined Objectives</t>
  </si>
  <si>
    <t>Performance Standard</t>
  </si>
  <si>
    <t>Top Layer KPI</t>
  </si>
  <si>
    <t>Assist Ref</t>
  </si>
  <si>
    <t>Assist</t>
  </si>
  <si>
    <t>Assist ref</t>
  </si>
  <si>
    <t>Assist ref separated by ;</t>
  </si>
  <si>
    <t>Assist Ref separated by ;</t>
  </si>
  <si>
    <t>Assist Ref ;</t>
  </si>
  <si>
    <t>Assist ref ;</t>
  </si>
  <si>
    <t>Y</t>
  </si>
  <si>
    <t>Human Resources</t>
  </si>
  <si>
    <t>N</t>
  </si>
  <si>
    <t>Grant</t>
  </si>
  <si>
    <t>Surplus</t>
  </si>
  <si>
    <t>Last Value</t>
  </si>
  <si>
    <t>LAST</t>
  </si>
  <si>
    <t>Reverse Last Value</t>
  </si>
  <si>
    <t>LASTREV</t>
  </si>
  <si>
    <t>The most recent Target and Actual greater than zero is used to calculate the Overall Performance for the Period.</t>
  </si>
  <si>
    <t>The most recent Target and Actual greater than zero is used to calculate the Overall Performance for the Period. Actuals must be less than or equal to the Target and the Target is greater than 0.</t>
  </si>
  <si>
    <t>Start Year:</t>
  </si>
  <si>
    <t>End Year:</t>
  </si>
  <si>
    <t>Time periods:</t>
  </si>
  <si>
    <t>New Text 2</t>
  </si>
  <si>
    <t>New Text 3</t>
  </si>
  <si>
    <t>System Headings</t>
  </si>
  <si>
    <t>Your Headings</t>
  </si>
  <si>
    <t>Function</t>
  </si>
  <si>
    <t>Displayed</t>
  </si>
  <si>
    <t>Required</t>
  </si>
  <si>
    <t>New Text 1</t>
  </si>
  <si>
    <t>IDP Objective</t>
  </si>
  <si>
    <t>KPI Name</t>
  </si>
  <si>
    <t>KPI Concept</t>
  </si>
  <si>
    <t>KPI Type</t>
  </si>
  <si>
    <t>Area</t>
  </si>
  <si>
    <t>KPI Calculation Type</t>
  </si>
  <si>
    <t>Target Type</t>
  </si>
  <si>
    <t>Project name</t>
  </si>
  <si>
    <t>Funding source</t>
  </si>
  <si>
    <t>Planned Start Date</t>
  </si>
  <si>
    <t>Planned Completion Date</t>
  </si>
  <si>
    <t>(DEPT)</t>
  </si>
  <si>
    <t>(TOP)</t>
  </si>
  <si>
    <t>Departmental</t>
  </si>
  <si>
    <t>Top Layer</t>
  </si>
  <si>
    <t>Sub-Function</t>
  </si>
  <si>
    <t>Community and Social Services</t>
  </si>
  <si>
    <t>Environmental Protection</t>
  </si>
  <si>
    <t>Executive and Council</t>
  </si>
  <si>
    <t>Finance and Administration</t>
  </si>
  <si>
    <t>Internal Audit</t>
  </si>
  <si>
    <t>Planning and Development</t>
  </si>
  <si>
    <t>Public Safety</t>
  </si>
  <si>
    <t>Road Transport</t>
  </si>
  <si>
    <t>Sport and Recreation</t>
  </si>
  <si>
    <t>Waste Management</t>
  </si>
  <si>
    <t>Waste Water Management</t>
  </si>
  <si>
    <t>Water Management</t>
  </si>
  <si>
    <t>Core?</t>
  </si>
  <si>
    <t>Aged Care</t>
  </si>
  <si>
    <t>Animal Care and Diseases</t>
  </si>
  <si>
    <t>Cemeteries, Funeral Parlours and Crematoriums</t>
  </si>
  <si>
    <t>Child Care Facilities</t>
  </si>
  <si>
    <t>Community Halls and Facilities</t>
  </si>
  <si>
    <t>Libraries and Archives</t>
  </si>
  <si>
    <t>Literacy Programmes</t>
  </si>
  <si>
    <t>Museums and Art Galleries</t>
  </si>
  <si>
    <t>Theatres</t>
  </si>
  <si>
    <t>Zoos</t>
  </si>
  <si>
    <t>Agricultural</t>
  </si>
  <si>
    <t>Consumer Protection</t>
  </si>
  <si>
    <t>Cultural Matters</t>
  </si>
  <si>
    <t>Disaster Management</t>
  </si>
  <si>
    <t>Education</t>
  </si>
  <si>
    <t>Indigenous and Customary Law</t>
  </si>
  <si>
    <t>Industrial Promotion</t>
  </si>
  <si>
    <t>Language Policy</t>
  </si>
  <si>
    <t>Media Services</t>
  </si>
  <si>
    <t>Population Development</t>
  </si>
  <si>
    <t>Provincial Cultural Matters</t>
  </si>
  <si>
    <t>Street Lighting and Signal Systems</t>
  </si>
  <si>
    <t>Nonelectric Energy</t>
  </si>
  <si>
    <t xml:space="preserve">Electricity </t>
  </si>
  <si>
    <t>Biodiversity and Landscape</t>
  </si>
  <si>
    <t>Coastal Protection</t>
  </si>
  <si>
    <t>Pollution Control</t>
  </si>
  <si>
    <t>Indigenous Forests</t>
  </si>
  <si>
    <t>Nature Conservation</t>
  </si>
  <si>
    <t>Soil Conservation</t>
  </si>
  <si>
    <t>Mayor and Council</t>
  </si>
  <si>
    <t>Municipal Manager, Town Secretary and Chief Executive</t>
  </si>
  <si>
    <t>Administrative and Corporate Support</t>
  </si>
  <si>
    <t>Asset Management</t>
  </si>
  <si>
    <t>Budget and Treasury Office</t>
  </si>
  <si>
    <t>Finance</t>
  </si>
  <si>
    <t>Fleet Management</t>
  </si>
  <si>
    <t>Information Technology</t>
  </si>
  <si>
    <t>Legal Services</t>
  </si>
  <si>
    <t>Marketing, Customer Relations, Publicity and Media Co-ordination</t>
  </si>
  <si>
    <t>Property Services</t>
  </si>
  <si>
    <t>Risk Management</t>
  </si>
  <si>
    <t>Security Services</t>
  </si>
  <si>
    <t xml:space="preserve">Supply Chain Management </t>
  </si>
  <si>
    <t>Valuation Service</t>
  </si>
  <si>
    <t>Health Services</t>
  </si>
  <si>
    <t>Laboratory Services</t>
  </si>
  <si>
    <t>Ambulance</t>
  </si>
  <si>
    <t>Informal Settlements</t>
  </si>
  <si>
    <t>Governance Function</t>
  </si>
  <si>
    <t>Abattoirs</t>
  </si>
  <si>
    <t>Air Transport</t>
  </si>
  <si>
    <t xml:space="preserve">Forestry </t>
  </si>
  <si>
    <t>Licensing and Regulation</t>
  </si>
  <si>
    <t>Markets</t>
  </si>
  <si>
    <t>Tourism</t>
  </si>
  <si>
    <t>Forestry</t>
  </si>
  <si>
    <t>Billboards</t>
  </si>
  <si>
    <t>Corporate Wide Strategic Planning (IDPs, LEDs)</t>
  </si>
  <si>
    <t>Central City Improvement District</t>
  </si>
  <si>
    <t>Development Facilitation</t>
  </si>
  <si>
    <t>Economic Development/Planning</t>
  </si>
  <si>
    <t>Town Planning, Building Regulations and Enforcement, and City Engineer</t>
  </si>
  <si>
    <t>Project Management Unit</t>
  </si>
  <si>
    <t>Support to Local Municipalities</t>
  </si>
  <si>
    <t>Provincial Planning</t>
  </si>
  <si>
    <t>Regional Planning and Development</t>
  </si>
  <si>
    <t>Civil Defence</t>
  </si>
  <si>
    <t>Cleansing</t>
  </si>
  <si>
    <t>Control of Public Nuisances</t>
  </si>
  <si>
    <t xml:space="preserve">Fencing and Fences </t>
  </si>
  <si>
    <t>Fire Fighting and Protection</t>
  </si>
  <si>
    <t>Licensing and Control of Animals</t>
  </si>
  <si>
    <t>Police Forces, Traffic and Street Parking Control</t>
  </si>
  <si>
    <t>Pounds</t>
  </si>
  <si>
    <t>Public Transport</t>
  </si>
  <si>
    <t>Roads</t>
  </si>
  <si>
    <t>Taxi Ranks</t>
  </si>
  <si>
    <t>Road and Traffic Regulation</t>
  </si>
  <si>
    <t xml:space="preserve">Beaches and Jetties </t>
  </si>
  <si>
    <t>Community Parks (including Nurseries)</t>
  </si>
  <si>
    <t>Recreational Facilities</t>
  </si>
  <si>
    <t>Sports Grounds and Stadiums</t>
  </si>
  <si>
    <t>Casinos, Racing, Gambling, Wagering</t>
  </si>
  <si>
    <t>Swimming Pools</t>
  </si>
  <si>
    <t>Recycling</t>
  </si>
  <si>
    <t>Solid Waste Disposal (Landfill Sites)</t>
  </si>
  <si>
    <t>Solid Waste Removal</t>
  </si>
  <si>
    <t>Street Cleaning</t>
  </si>
  <si>
    <t>Public Toilets</t>
  </si>
  <si>
    <t>Sewerage</t>
  </si>
  <si>
    <t>Storm Water Management</t>
  </si>
  <si>
    <t>Waste Water Treatment</t>
  </si>
  <si>
    <t>Water Treatment</t>
  </si>
  <si>
    <t>Water Distribution</t>
  </si>
  <si>
    <t>Water Storage</t>
  </si>
  <si>
    <t>ONLY CHANGE CELLS HIGHLIGHTED IN YELLOW!!!!!</t>
  </si>
  <si>
    <t>System Calculated Annual Targets</t>
  </si>
  <si>
    <t>Target</t>
  </si>
  <si>
    <t>Provincial Strategic Objectives</t>
  </si>
  <si>
    <t>Create opportunities for growth and jobs</t>
  </si>
  <si>
    <t>Improve education outcomes and opportunities for youth development</t>
  </si>
  <si>
    <t>Increase wellness, safety and tackle social ills</t>
  </si>
  <si>
    <t>Enable a resilient, sustainable, quality and inclusive living environment</t>
  </si>
  <si>
    <t>Embed good governance and  integrated service delivery through partnerships and spatial alignment</t>
  </si>
  <si>
    <t>GG</t>
  </si>
  <si>
    <t>BS</t>
  </si>
  <si>
    <t>FV</t>
  </si>
  <si>
    <t>ED</t>
  </si>
  <si>
    <t>MT</t>
  </si>
  <si>
    <t>Economy and Development</t>
  </si>
  <si>
    <t>Environmental Sustainability and Resilience</t>
  </si>
  <si>
    <t xml:space="preserve">Inclusive Rural Economy </t>
  </si>
  <si>
    <t>South Africa in the Region and the World</t>
  </si>
  <si>
    <t>Transforming Human Settlements</t>
  </si>
  <si>
    <t>Improving Education, training and innovation</t>
  </si>
  <si>
    <t>Healthcare for all</t>
  </si>
  <si>
    <t>Social Protection</t>
  </si>
  <si>
    <t>Building Safer Communities</t>
  </si>
  <si>
    <t>Developing a capable and Development State</t>
  </si>
  <si>
    <t>Fighting Corruption</t>
  </si>
  <si>
    <t>Nation Building and Social Cohesion</t>
  </si>
  <si>
    <t>Office of the Municipal Manager</t>
  </si>
  <si>
    <t>Administration &amp; Community Services</t>
  </si>
  <si>
    <t>Financial Services</t>
  </si>
  <si>
    <t>Technical Services</t>
  </si>
  <si>
    <t>Municipal Manager</t>
  </si>
  <si>
    <t>Internal audit</t>
  </si>
  <si>
    <t>Strategic Services</t>
  </si>
  <si>
    <t>Development</t>
  </si>
  <si>
    <t>Risk Management Shared Service</t>
  </si>
  <si>
    <t>Director: Administration &amp; Community Services</t>
  </si>
  <si>
    <t>Municipal Health Services</t>
  </si>
  <si>
    <t>Public relations</t>
  </si>
  <si>
    <t>Support Services</t>
  </si>
  <si>
    <t>Protection Services</t>
  </si>
  <si>
    <t>Fire Services</t>
  </si>
  <si>
    <t>Administration</t>
  </si>
  <si>
    <t>Director: Financial Services</t>
  </si>
  <si>
    <t>SCM</t>
  </si>
  <si>
    <t>Control</t>
  </si>
  <si>
    <t>Income &amp; Expenditure</t>
  </si>
  <si>
    <t>Resorts</t>
  </si>
  <si>
    <t>Director: Technical Services</t>
  </si>
  <si>
    <t>Spatial Planning</t>
  </si>
  <si>
    <t>Waterworks</t>
  </si>
  <si>
    <t>Ensuring Good Governance and Financial Viability</t>
  </si>
  <si>
    <t>Promoting Social well-being of the community</t>
  </si>
  <si>
    <t>To pursue Economic Growth and facilitation of job opportunities</t>
  </si>
  <si>
    <t>Promoting bulk infrastructure development services</t>
  </si>
  <si>
    <t>Ensuring Environmental Integrity for the West Coast</t>
  </si>
  <si>
    <t>Advise, adopt, implement, monitor the District Integrated Transport Plan</t>
  </si>
  <si>
    <t>Co-ordinate, support, build capacity for and monitor Social and Rural Development in the District</t>
  </si>
  <si>
    <t>Develop, maintain and monitor the provision of a desalination plant as an alternative bulk water supply system</t>
  </si>
  <si>
    <t>Ensure a clean, corruption free and well-managed administration</t>
  </si>
  <si>
    <t>Ensure a clean, corruption free and well-managed administration; Implement measures that ensure an efficient, effective, accountable and economically viable administration</t>
  </si>
  <si>
    <t>Ensure integrated strategic and operational planning</t>
  </si>
  <si>
    <t>Facilitate and develop an entrepreneurial culture in the district with specific interventions which support the growth and development of the tourist sector in the district</t>
  </si>
  <si>
    <t>Facilitate and strengthen public participation and the process of deepening democracy</t>
  </si>
  <si>
    <t>Facilitate public participation and the process of deepening democracy</t>
  </si>
  <si>
    <t>Implement measures that ensure an efficient, effective, accountable and economically viable administration</t>
  </si>
  <si>
    <t>Implement, maintain and monitor an effective, efficient and cost effective bulk water system</t>
  </si>
  <si>
    <t>Improve the human capital resource pool internally</t>
  </si>
  <si>
    <t>Improve the well-being and health and safety conditions of staff</t>
  </si>
  <si>
    <t>Maintain and develop a series of campaigns to grow and change the visitor profile of the West Coast Region</t>
  </si>
  <si>
    <t>Promote and facilitate financial investment, catalytic business projects, anchor capital projects and EPWP to drive business development, skills development and job creation in the district</t>
  </si>
  <si>
    <t>Promote, facilitate, co-ordinate interventions which monitor and improve the health, safety and environmental conditions in the WCDM</t>
  </si>
  <si>
    <t>Promote, practice and monitor sound financial management strategies, systems and practices which ensure regulatory compliance and financial viability</t>
  </si>
  <si>
    <t>Provide shared inter-governmental support which builds capacity and improves service delivery</t>
  </si>
  <si>
    <t>Resource and strengthen targeted Social and Rural Development initiatives in the district with targeted support provided to vulnerable social groups</t>
  </si>
  <si>
    <t>Review of the Spatial Development Framework and plan and implement recommendations and measures which enhance the environmental, social and economic conditions in the WCDM</t>
  </si>
  <si>
    <t>Revise and update the Bulk Water System Master Plan</t>
  </si>
  <si>
    <t>Revise, adopt, implement the District Integrated Waste Management Plan</t>
  </si>
  <si>
    <t>Revise, adopt, implement, monitor the District Integrated Transport Plan</t>
  </si>
  <si>
    <t>The effective and efficient maintenance of roads throughout the district</t>
  </si>
  <si>
    <t>Work with partners to promote economic growth and encourage business to invest in the West Coast Region</t>
  </si>
  <si>
    <t>Internal</t>
  </si>
  <si>
    <t>Manager Risk Management</t>
  </si>
  <si>
    <t>Manager Tourism</t>
  </si>
  <si>
    <t>Manager: Administration</t>
  </si>
  <si>
    <t>Manager: Development</t>
  </si>
  <si>
    <t>Manager: Disaster Management</t>
  </si>
  <si>
    <t>Manager: Fire Services</t>
  </si>
  <si>
    <t>Manager: Income and Expenditure</t>
  </si>
  <si>
    <t>Manager: Information Technology</t>
  </si>
  <si>
    <t>Manager: Internal Audit</t>
  </si>
  <si>
    <t>Manager: Resorts</t>
  </si>
  <si>
    <t>Manager: SCM</t>
  </si>
  <si>
    <t>Manager: Spatial Planning</t>
  </si>
  <si>
    <t>Senior Manager: Control</t>
  </si>
  <si>
    <t>Senior Manager: Human Resources</t>
  </si>
  <si>
    <t>Senior Manager: Roads</t>
  </si>
  <si>
    <t>Senior Manager: Strategic Services</t>
  </si>
  <si>
    <t>Senior Manager: Water Provision</t>
  </si>
  <si>
    <t>Community and Social Services [Non-core Function] - Disaster Management</t>
  </si>
  <si>
    <t>Community and Social Services [Non-core Function] - Population Development</t>
  </si>
  <si>
    <t>Planning and Development [Core function]  - Economic Development/Planning</t>
  </si>
  <si>
    <t>Environmental Protection [Core function]  - Pollution Control</t>
  </si>
  <si>
    <t>Health [Core function]  - Health Services</t>
  </si>
  <si>
    <t>Finance and Administration [Core function]  - Administrative and Corporate Support</t>
  </si>
  <si>
    <t>Road Transport [Core function]  - Roads</t>
  </si>
  <si>
    <t>Finance and Administration [Core function]  - Finance</t>
  </si>
  <si>
    <t>Finance and Administration [Core function]  - Human Resources</t>
  </si>
  <si>
    <t>Finance and Administration [Core function]  - Risk Management</t>
  </si>
  <si>
    <t>Internal Audit [Core function]  - Governance Function</t>
  </si>
  <si>
    <t>Executive and Council [Core function]  - Municipal Manager, Town Secretary and Chief Executive</t>
  </si>
  <si>
    <t>Planning and Development [Core function]  - Corporate Wide Strategic Planning (IDPs, LEDs)</t>
  </si>
  <si>
    <t>Other [Core function]  - Tourism</t>
  </si>
  <si>
    <t>Number of samples taken and monitored</t>
  </si>
  <si>
    <t>Disaster Management Framework reviewed and submitted</t>
  </si>
  <si>
    <t>% of capital budget spent</t>
  </si>
  <si>
    <t>% of debt coverage</t>
  </si>
  <si>
    <t>% of outstanding service debtors</t>
  </si>
  <si>
    <t>Number of months it takes to cover fix operating expenditure with available cash</t>
  </si>
  <si>
    <t>Number of meetings coordinated</t>
  </si>
  <si>
    <t>Number of meetings initiated</t>
  </si>
  <si>
    <t>Existing approved Air Quality Management Plan</t>
  </si>
  <si>
    <t>Timesheets</t>
  </si>
  <si>
    <t>Sample request forms or laboratory submission reports</t>
  </si>
  <si>
    <t>Agenda of the Council meeting</t>
  </si>
  <si>
    <t>Water balance sheets</t>
  </si>
  <si>
    <t>Capital Spending control accounts report from the financial system (Trial Balance)</t>
  </si>
  <si>
    <t>Annual Financial Statements or report from financial system (Trial Balance)</t>
  </si>
  <si>
    <t>Notices of meetings</t>
  </si>
  <si>
    <t>2</t>
  </si>
  <si>
    <t>1</t>
  </si>
  <si>
    <t>Water Management [Non-core Function] - Water Distribution</t>
  </si>
  <si>
    <t>Hold quarterly meetings with the extended management team</t>
  </si>
  <si>
    <t>Number of meetings held</t>
  </si>
  <si>
    <t>100% compliance with all the legislative deliverables as measured per compliance monitoring system</t>
  </si>
  <si>
    <t>% compliance</t>
  </si>
  <si>
    <t>Number of activities</t>
  </si>
  <si>
    <t>Number of inputs submitted</t>
  </si>
  <si>
    <t>Facilitate the quarterly meeting of the risk Committee</t>
  </si>
  <si>
    <t>Submit the minutes of the Risk Committee to the Audit Committee</t>
  </si>
  <si>
    <t>Number of minutes submitted</t>
  </si>
  <si>
    <t>Number meetings held</t>
  </si>
  <si>
    <t>Number of internal newsletter compiled and distributed</t>
  </si>
  <si>
    <t>Compile and distribute quarterly External Newsletters</t>
  </si>
  <si>
    <t>Number of external newsletter compiled and distributed</t>
  </si>
  <si>
    <t>Hold Occupational Health and Safety meetings on a quarterly basis</t>
  </si>
  <si>
    <t>Number of Local Labour Forum meetings initiated by the employer</t>
  </si>
  <si>
    <t>Hold meetings with all local municipalities and stakeholders in the municipal area for the development of the consolidated implementation plan for social development interventions</t>
  </si>
  <si>
    <t>Implement cultural and sport initiatives</t>
  </si>
  <si>
    <t>Number of initiatives implemented</t>
  </si>
  <si>
    <t>Implement social initiatives targeted at vulnerable groups</t>
  </si>
  <si>
    <t>Annual risk assessment signed-off</t>
  </si>
  <si>
    <t>Advertise meeting dates of Council and Executive Mayoral Committee meetings by end of December and end of June</t>
  </si>
  <si>
    <t>Number of Adverts placed by end of December and end of June</t>
  </si>
  <si>
    <t>Submit the Draft Annual Report to the Auditor-General by 31 August</t>
  </si>
  <si>
    <t>Draft Annual Report submitted to Auditor-General by 31 August</t>
  </si>
  <si>
    <t>Submit the Final Annual report to Council by end of March</t>
  </si>
  <si>
    <t>Final Annual Report submitted to Council by 31 March</t>
  </si>
  <si>
    <t>Distribute agendas monthly (excluding December and January) to all Council, Executive Mayoral Committee &amp; Portfolio Committee meetings, 5 calendar days prior to the meeting.</t>
  </si>
  <si>
    <t>% of agendas distributed 5 days prior to meetings</t>
  </si>
  <si>
    <t>Request councilors to complete their declarations of financial interest by the end of February</t>
  </si>
  <si>
    <t>Number of request sent to councilors before end of February</t>
  </si>
  <si>
    <t>Update Policy Register annually by the end of March</t>
  </si>
  <si>
    <t>Policy register updated by end of March</t>
  </si>
  <si>
    <t>Number of reports submitted to the Portfolio Committee</t>
  </si>
  <si>
    <t>Monthly comply 100% with all the actions listed as per Eunomia iComply</t>
  </si>
  <si>
    <t>Number of reports submitted to management</t>
  </si>
  <si>
    <t>Submit Disaster Management report annually to the Provincial Disaster Management Centre by the end of September</t>
  </si>
  <si>
    <t>Disaster Management annual report submitted to PDMC</t>
  </si>
  <si>
    <t>Conduct quarterly visits to each B Municipality to discuss disaster related issues</t>
  </si>
  <si>
    <t>Number of visits to municipalities</t>
  </si>
  <si>
    <t>Co-ordinate bi-annual disaster management advisory forum meetings</t>
  </si>
  <si>
    <t>Attend to complaints regarding Environmental Pollution within 10 workings days of receiving a complaint/notification</t>
  </si>
  <si>
    <t>% of Complaints attended to</t>
  </si>
  <si>
    <t>Implement Environmental Education initiatives on a quarterly basis</t>
  </si>
  <si>
    <t>Number of meetings facilitated</t>
  </si>
  <si>
    <t>Conduct monthly meetings with all Station Officers</t>
  </si>
  <si>
    <t>Number meetings conducted</t>
  </si>
  <si>
    <t>Conduct fire fighting refresher training sessions for Fire Fighters monthly (excluding peak fire season- December to April)</t>
  </si>
  <si>
    <t>Number of training sessions conducted</t>
  </si>
  <si>
    <t>Conduct fire prevention related inspections within 10 working days after making inspection appointment</t>
  </si>
  <si>
    <t>% of fire prevention related inspections conducted within 10 working days after making appointment</t>
  </si>
  <si>
    <t>Report quarterly on corrective measures implemented to reduce priority risk areas</t>
  </si>
  <si>
    <t>Number of reports submitted</t>
  </si>
  <si>
    <t>Balance the General Ledger monthly according to the specifications of Financial Legislation</t>
  </si>
  <si>
    <t>Number of months general ledger is balanced</t>
  </si>
  <si>
    <t>Number of months submitted</t>
  </si>
  <si>
    <t>Transfer salary related deductions prior to the last working day of every month</t>
  </si>
  <si>
    <t>Number of months that salary related deductions were transferred</t>
  </si>
  <si>
    <t>Upload data extract from the financial system to the NT portal by the 10th working day of each month</t>
  </si>
  <si>
    <t>Number of uploads</t>
  </si>
  <si>
    <t>Complete a monthly stores reconciliation in terms of section 65 2 (j) of the MFMA</t>
  </si>
  <si>
    <t>Number of stores reconciliations</t>
  </si>
  <si>
    <t>Complete a quarterly stock take of stores in compliance with GRAP 12</t>
  </si>
  <si>
    <t>Number of stock takes</t>
  </si>
  <si>
    <t>Quotations less than R30 000 to be sourced within 7 days upon receipt of specification forms from requesting dept</t>
  </si>
  <si>
    <t>% sourced within 7 days upon receipt of specification forms from requesting dept</t>
  </si>
  <si>
    <t>Complete administration of the contracts and submit to Archives within 5 days once received from the various departments</t>
  </si>
  <si>
    <t>% submitted to Archives within 5 days once received from the various departments</t>
  </si>
  <si>
    <t>20% of total procurement tenders above R30 000 awarded to Micro Enterprises</t>
  </si>
  <si>
    <t>% of total procurement tenders above R30 000 awarded to Exempted Micro Enterprises</t>
  </si>
  <si>
    <t>Maintain asset register with purchases, depreciations and disposals</t>
  </si>
  <si>
    <t>% asset register maintained with purchases, depreciation and disposals</t>
  </si>
  <si>
    <t>Tag assets as per the monthly schedule</t>
  </si>
  <si>
    <t>% of assets tagged monthly</t>
  </si>
  <si>
    <t>Conduct yearly asset count/RUL/Impairment testing</t>
  </si>
  <si>
    <t>Number of yearly asset counts</t>
  </si>
  <si>
    <t>Complete Vat 201 reconciliation by the 25th of the next month</t>
  </si>
  <si>
    <t>Number of Reconciliations completed by due date</t>
  </si>
  <si>
    <t>Compile and update minimum spec- database of all computers by 31 December</t>
  </si>
  <si>
    <t>Database compiled and reviewed by 31 December</t>
  </si>
  <si>
    <t>Daily data back-ups for disaster recovery for every work day</t>
  </si>
  <si>
    <t>% of daily back ups per month</t>
  </si>
  <si>
    <t>Attend to IT related requests within 5 working days</t>
  </si>
  <si>
    <t>% requests attended to within 5 working days</t>
  </si>
  <si>
    <t>Upload tenders and quotations on the corporate website within 1 working day after receipt of request</t>
  </si>
  <si>
    <t>% of tenders and quotations uploaded to website within 1 working day of request received.</t>
  </si>
  <si>
    <t>Review the IT strategic plan and submit to council by 31 May (Part of IDP)</t>
  </si>
  <si>
    <t>IT strategic plan submitted to Council by 31 May</t>
  </si>
  <si>
    <t>Hold monthly staff meetings</t>
  </si>
  <si>
    <t>Number of meetings</t>
  </si>
  <si>
    <t>Written complaints attended to within 5 working days of receipt</t>
  </si>
  <si>
    <t>% of complaints attended to within 5 working days of receipt</t>
  </si>
  <si>
    <t>Inspect the resort's basic service infrastructure weekly and submit a monthly report to the portfolio committee (excluding December and January)</t>
  </si>
  <si>
    <t>Sign-off annual risk assessment applicable to the directorate by 31 May 2018</t>
  </si>
  <si>
    <t>Compile monthly grader and maintenance schedules</t>
  </si>
  <si>
    <t>Number of schedules compiled</t>
  </si>
  <si>
    <t>Socio/Environmental/Planning comment/inputs on all developments in the region that require an EIA and/or may have a regional impact and/or that have an impact on WCDM functions within the required legislative time</t>
  </si>
  <si>
    <t>% of projects/developments commented on that require comment within the required legislative time</t>
  </si>
  <si>
    <t>Inter-municipal co-operation/shared support are provided in the district {(No of actual inter-municipal co-operation and shared support provided/ No of requests received)x100}</t>
  </si>
  <si>
    <t>% support provided</t>
  </si>
  <si>
    <t>Provide sufficient supply of bulk water to meet predicted annual demand {(Capacity (Ml)/ Demand (Ml))x100}</t>
  </si>
  <si>
    <t>% supply</t>
  </si>
  <si>
    <t>% overtime expenditure of budgeted salary expenditure</t>
  </si>
  <si>
    <t>Quarterly</t>
  </si>
  <si>
    <t>New Key Performance Indicator for 2017/18</t>
  </si>
  <si>
    <t>1 per quarter</t>
  </si>
  <si>
    <t>Meeting minutes</t>
  </si>
  <si>
    <t>100% compliance</t>
  </si>
  <si>
    <t>Report from and POE as loaded on the iComply system</t>
  </si>
  <si>
    <t>4 per annum</t>
  </si>
  <si>
    <t>3 per annum</t>
  </si>
  <si>
    <t>Report from and POE as loaded on the system</t>
  </si>
  <si>
    <t>Portfolio committee minutes</t>
  </si>
  <si>
    <t>Minutes of risk committee meetings</t>
  </si>
  <si>
    <t>Agenda and minutes for Audit committee meetings.</t>
  </si>
  <si>
    <t>Agenda and minutes for council meeting</t>
  </si>
  <si>
    <t>5 per annum</t>
  </si>
  <si>
    <t>Copy of internal newsletter</t>
  </si>
  <si>
    <t>1 external newsletter published per quarter</t>
  </si>
  <si>
    <t>Copy of external newsletter</t>
  </si>
  <si>
    <t>8 per annum</t>
  </si>
  <si>
    <t>Notice of the meetings</t>
  </si>
  <si>
    <t>1 per local municipal area</t>
  </si>
  <si>
    <t>Attendance register and minutes of meetings</t>
  </si>
  <si>
    <t>Attendance registers, photos</t>
  </si>
  <si>
    <t>By 31 May</t>
  </si>
  <si>
    <t>By 31 December and 30 June</t>
  </si>
  <si>
    <t>Copy of advert with dates</t>
  </si>
  <si>
    <t>By 31 August</t>
  </si>
  <si>
    <t>Acknowledgement of receipts from the AG</t>
  </si>
  <si>
    <t>By 31 March</t>
  </si>
  <si>
    <t>Minutes of Council Meeting</t>
  </si>
  <si>
    <t>Confirmation of receipt forms</t>
  </si>
  <si>
    <t>By end February</t>
  </si>
  <si>
    <t>File - 3/3/6 and Personal folders</t>
  </si>
  <si>
    <t>Updated policy by end of March</t>
  </si>
  <si>
    <t>Updated policy register</t>
  </si>
  <si>
    <t>Minutes of Portfolio Committee Meeting</t>
  </si>
  <si>
    <t>Monthly report</t>
  </si>
  <si>
    <t>Monthly</t>
  </si>
  <si>
    <t>One report per year</t>
  </si>
  <si>
    <t>Report submitted -Archive ref 3/4/5</t>
  </si>
  <si>
    <t>4 per year per B Municipality</t>
  </si>
  <si>
    <t>Attendance register and Archive ref 15/1/3</t>
  </si>
  <si>
    <t>Bi-annually</t>
  </si>
  <si>
    <t>Invite and agenda of meetings</t>
  </si>
  <si>
    <t>Inspection reports and log of complaints received</t>
  </si>
  <si>
    <t>10 initiatives quarterly</t>
  </si>
  <si>
    <t>Initiatives implemented - 15/4/1/8/5</t>
  </si>
  <si>
    <t>Monthly reports</t>
  </si>
  <si>
    <t>Notice of meetings</t>
  </si>
  <si>
    <t>Monthly Meetings</t>
  </si>
  <si>
    <t>Minutes of Meetings</t>
  </si>
  <si>
    <t>78 training sessions every year</t>
  </si>
  <si>
    <t>Training report</t>
  </si>
  <si>
    <t>Issue certificate/ non-compliance letter within 10 working days of inspection</t>
  </si>
  <si>
    <t>Quarterly reports submitted</t>
  </si>
  <si>
    <t>Confirmation of submission of the reports</t>
  </si>
  <si>
    <t>Ledger balanced every month.</t>
  </si>
  <si>
    <t>Trial balance drawn from financial system</t>
  </si>
  <si>
    <t>100% monthly</t>
  </si>
  <si>
    <t>Report from and POE as loaded on the Eunomia iComply system</t>
  </si>
  <si>
    <t>Exception report</t>
  </si>
  <si>
    <t>Signed-off bank reconciliation</t>
  </si>
  <si>
    <t>by the 10th working day</t>
  </si>
  <si>
    <t>Report from NT</t>
  </si>
  <si>
    <t>100% within 7 days</t>
  </si>
  <si>
    <t>Specification forms-filing system report in SCM office</t>
  </si>
  <si>
    <t>100% within 5 days</t>
  </si>
  <si>
    <t>Contracts awards register and the Quotation awards register</t>
  </si>
  <si>
    <t>20% per annum</t>
  </si>
  <si>
    <t>Asset register</t>
  </si>
  <si>
    <t>Annually</t>
  </si>
  <si>
    <t>VAT 201 file</t>
  </si>
  <si>
    <t>by 31 December</t>
  </si>
  <si>
    <t>Min Spec database file at IT and 5/2/1/1</t>
  </si>
  <si>
    <t>1 back up per working day</t>
  </si>
  <si>
    <t>Back up report on server</t>
  </si>
  <si>
    <t>Fault register at IT</t>
  </si>
  <si>
    <t>One meeting of the IT Steering committee held per quarter.</t>
  </si>
  <si>
    <t>Minutes of the meeting</t>
  </si>
  <si>
    <t>Request for IT support forms, Upload log</t>
  </si>
  <si>
    <t>Minutes of Council meeting</t>
  </si>
  <si>
    <t>Minutes of meeting</t>
  </si>
  <si>
    <t>Complaints file</t>
  </si>
  <si>
    <t>Monthly except December and January</t>
  </si>
  <si>
    <t>Agenda and minutes for Portfolio committee meetings.</t>
  </si>
  <si>
    <t>Minutes of portfolio committee meetings</t>
  </si>
  <si>
    <t>Grader schedules updated every month</t>
  </si>
  <si>
    <t>Within the required legislative timeframe</t>
  </si>
  <si>
    <t>Register and comments filed at archives</t>
  </si>
  <si>
    <t>90% of all requests received</t>
  </si>
  <si>
    <t>Meet demand 100%.</t>
  </si>
  <si>
    <t>Public Safety [Core function]  - Fire Fighting and Protection</t>
  </si>
  <si>
    <t xml:space="preserve">Finance and Administration [Core function]  - Supply Chain Management </t>
  </si>
  <si>
    <t>Finance and Administration [Core function]  - Asset Management</t>
  </si>
  <si>
    <t>Finance and Administration [Core function]  - Information Technology</t>
  </si>
  <si>
    <t>Sport and Recreation [Core function]  - Recreational Facilities</t>
  </si>
  <si>
    <t>Yes</t>
  </si>
  <si>
    <t>No</t>
  </si>
  <si>
    <t>Create full time equivalent (FTE's) through expenditure with the EPWP job creation by 30 June 2019</t>
  </si>
  <si>
    <t>Review the Air Quality Management Plan and submit to Council for approval by the end of May 2019</t>
  </si>
  <si>
    <t>The percentage of the municipal capital budget actually spent on capital projects by 30 June 2019 {(Actual (including commitments) amount spent on projects /Total amount budgeted for capital projects)X100}</t>
  </si>
  <si>
    <t>Financial viability measured in terms of the municipality's ability to meet it's service debt obligations as at 30 June 2019 ((Short Term Borrowing + Bank Overdraft + Short Term Lease + Long Term Borrowing + Long Term Lease) / Total Operating Revenue - Operating Conditional Grant)</t>
  </si>
  <si>
    <t>Financial viability measured in terms of the outstanding service debtors as at 30 June 2019 ((Total outstanding service debtors/ revenue received for services)X100)</t>
  </si>
  <si>
    <t>Financial viability measured in terms of the available cash to cover fixed operating expenditure as at 30 June 2019 ((Cash and Cash Equivalents - Unspent Conditional Grants - Overdraft) + Short Term Investment) / Monthly Fixed Operational Expenditure excluding (Depreciation, Amortisation, and Provision for Bad Debts, Impairment and Loss on Disposal of Assets)).</t>
  </si>
  <si>
    <t>Number of full time equivalent (FTE's) created by 30 June 2019</t>
  </si>
  <si>
    <t>Reviewed Air Quality Management Plan submitted to Council for approval by the end of May 2019</t>
  </si>
  <si>
    <t>Compile and submit the draft Annual Report by the end of January 2019</t>
  </si>
  <si>
    <t>Take quarterly samples of bacterial levels of potable water in towns, farms and communities within in the district during the 2018/19 financial year</t>
  </si>
  <si>
    <t>Review a Climate Change Plan and submit to Council for approval by the end of May 2019</t>
  </si>
  <si>
    <t>Plan submitted to Council for approval by the end of May 2019</t>
  </si>
  <si>
    <t>Existing approved Climate Change Plan</t>
  </si>
  <si>
    <t>Review the Coastal Management  Plan and submit to Council for approval by the end of May 2019</t>
  </si>
  <si>
    <t>Existing approved Coastal Management Plan</t>
  </si>
  <si>
    <t>Take quarterly samples in terms of Foodstuffs, Cosmetics and Disinfectants Act during the 2018/19 financial year</t>
  </si>
  <si>
    <t>Take quarterly samples regarding bacterial levels in final sewerage effluent during the 2018/19 financial year</t>
  </si>
  <si>
    <t>Compile and submit the draft Annual Report for 2017/18 to Council by the end January 2019</t>
  </si>
  <si>
    <t>Review and submit the Disaster Management Plan to Council by the end of May 2019</t>
  </si>
  <si>
    <t>Submit a monthly report on all outstanding items on Collaborator to all HOD's</t>
  </si>
  <si>
    <t>Email submission of report</t>
  </si>
  <si>
    <t>Senior Manager: Municipal Health</t>
  </si>
  <si>
    <t>100% of registered clients billed monthly by the 30th of each month</t>
  </si>
  <si>
    <t>% billed per month by the 30th</t>
  </si>
  <si>
    <t>Complete bank reconciliations prior to the 10th working day of every month</t>
  </si>
  <si>
    <t xml:space="preserve">Number of bank reconciliations completed prior to the 10th working day </t>
  </si>
  <si>
    <t>Facilitate quarterly IT steering committee meetings</t>
  </si>
  <si>
    <t>Number of reviews conducted</t>
  </si>
  <si>
    <t>New Key Performance Indicator</t>
  </si>
  <si>
    <t>Quarterly monitoring</t>
  </si>
  <si>
    <t>System reports signed off</t>
  </si>
  <si>
    <t>Daily monitor exception reports for the various systems</t>
  </si>
  <si>
    <t>% monitoring of all exception reports</t>
  </si>
  <si>
    <t>Daily monitoring</t>
  </si>
  <si>
    <t>Create temporary job opportunities with man days paid through projects by 30 June 2019</t>
  </si>
  <si>
    <t>Number of man days paid</t>
  </si>
  <si>
    <t>95% of the provincial roads conditional grant budget allocation spent by 30 June 2019 {(Total expenditure divided by the total approved budget) x 100}</t>
  </si>
  <si>
    <t>% of the budget spent</t>
  </si>
  <si>
    <t>Grade 16 000 kilometers of road by 30 June 2019</t>
  </si>
  <si>
    <t>Number of kilometers graded</t>
  </si>
  <si>
    <t>IMMS data</t>
  </si>
  <si>
    <t>Re-gravel 38.84 kilometers of roads by 30 June 2019</t>
  </si>
  <si>
    <t>Number of kilometers of road re-graveled</t>
  </si>
  <si>
    <t>Completion certificate</t>
  </si>
  <si>
    <t>Upgrade 9.28 kilometers of roads from gravel to bitumen surface by 30 June 2019</t>
  </si>
  <si>
    <t>Number of kilometers of road upgraded from gravel to bitumen</t>
  </si>
  <si>
    <t>Reseal 25.24 kilometers of surfaced roads by 30 June 2019</t>
  </si>
  <si>
    <t>Number of kilometers of road resealed</t>
  </si>
  <si>
    <t>Water Management [Core function]  - Water Treatment</t>
  </si>
  <si>
    <t>Comply 100% with water quality parameters as per SANS 241 physical and micro parameters for West Coast Bulk Water Supply during the 2018/19 financial year</t>
  </si>
  <si>
    <t>% compliance with the water quality parameters</t>
  </si>
  <si>
    <t>Microbiological 2016/17 Blue Drop Determined List (Limits) Compliance obtained from the Department of Water Affairs</t>
  </si>
  <si>
    <t>Water Management [Core function]  - Water Distribution</t>
  </si>
  <si>
    <t>Limit average % water loss for last 12 months to less than 5% {(Number of Kiloliters Water Purified - Number of Kiloliters Water Sold) / Number of Kiloliters Water Purified _ 100}</t>
  </si>
  <si>
    <t>% average water loss for last 12 months {(Number of Kiloliters Water Purified - Number of Kiloliters Water Sold) / Number of Kiloliters Water Purified _ 100}</t>
  </si>
  <si>
    <t>Planning and Development [Core function]  - Development Facilitation</t>
  </si>
  <si>
    <t>Update the SDF and submit to council by 31 March 2019</t>
  </si>
  <si>
    <t>Updated SDF submitted to Council by 31 March 2019</t>
  </si>
  <si>
    <t>Current SDF</t>
  </si>
  <si>
    <t>Agenda and minutes of the Council meeting</t>
  </si>
  <si>
    <t>Number of people from employment equity target groups to be appointed by 30 June 2019 in the three highest levels of management in compliance with the municipality's approved Employment Equity Plan</t>
  </si>
  <si>
    <t>Number of people appointed in the three highest levels of management</t>
  </si>
  <si>
    <t>The percentage of the municipality's personnel budget actually spent on implementing its workplace skills plan by 30 June 2019 ((Actual amount spent on training/total personnel budget)x100)</t>
  </si>
  <si>
    <t>% of the municipality's personnel budget actually spent on implementing its workplace skills plan</t>
  </si>
  <si>
    <t>Review the risk management policy strategy with the implementation plan and submit to the risk committee by 31 May 2019</t>
  </si>
  <si>
    <t>Reviewed risk management policy strategy with implementation plan submitted to risk committee</t>
  </si>
  <si>
    <t>Agenda and minutes of Risk committee meetings</t>
  </si>
  <si>
    <t>Draft the annual consolidated operational plan for social development interventions in the district for 2019/20 and submit to MAYCO by 31 January 2019</t>
  </si>
  <si>
    <t>Consolidated operational plan for social development interventions in the district drafted and submitted to MAYCO</t>
  </si>
  <si>
    <t>Agenda and minutes of the MAYCO meeting where plan was submitted for approval</t>
  </si>
  <si>
    <t>Limit the vacancy rate to less than 15% of budgeted posts by 30 June 2019 ((Number of budgeted posts filled/Number of budgeted posts on the organogram)x100)</t>
  </si>
  <si>
    <t>% Vacancy rate</t>
  </si>
  <si>
    <t>Monthly HR Report</t>
  </si>
  <si>
    <t>Compile the risk based audit plan for 2019/20 and submit to the Audit Committee for consideration by 30 June 2019</t>
  </si>
  <si>
    <t>RBAP submitted to Audit Committee</t>
  </si>
  <si>
    <t>Agenda and Minutes of the Audit committee</t>
  </si>
  <si>
    <t>Submit progress reports on the implementation of the RBAP for 2018/19 to the Audit Committee during the 2018/19 financial year</t>
  </si>
  <si>
    <t>Number of progress reports submitted</t>
  </si>
  <si>
    <t>Co-ordinate the functioning of the audit committee during the 2018/19 financial year</t>
  </si>
  <si>
    <t>Agenda and minutes for Audit committee meetings</t>
  </si>
  <si>
    <t>Perform quarterly risk assessments per the Risk Implementation Plan and submit report with amendments to the risk committee during the 2018/19 financial year</t>
  </si>
  <si>
    <t>Number of risk assessments performed and report submitted to the risk committee</t>
  </si>
  <si>
    <t>Agenda and minutes for Risk committee meetings</t>
  </si>
  <si>
    <t>Initiate the meeting of the district coordinating forum (Technical) during the 2018/19 financial year</t>
  </si>
  <si>
    <t>Host 8 sessions to promote skills development and support the Tourism SMME business sector by 30 June 2019</t>
  </si>
  <si>
    <t>Number of sessions hosted</t>
  </si>
  <si>
    <t>Attendance registers</t>
  </si>
  <si>
    <t>Carry out 24 tourism promotional activities by 30 June 2019</t>
  </si>
  <si>
    <t>Number of activities carried out</t>
  </si>
  <si>
    <t>Proof of printed media, web upload logs, etc</t>
  </si>
  <si>
    <t>Assist 12 Tourism BEE entrepreneurs with starting and growing businesses e.g. research, business plans and skills development by 30 June 2019</t>
  </si>
  <si>
    <t>Number of Tourism BEE entrepreneurs assisted</t>
  </si>
  <si>
    <t>Written certification/ acknowledgement from entrepreneur</t>
  </si>
  <si>
    <t>Review the District Economic Development Strategy and submit to Council by 31 March 2019</t>
  </si>
  <si>
    <t>District Economic Development Strategy reviewed and submitted to Council by 31 March 2019</t>
  </si>
  <si>
    <t>Review and update the organisational structure and submit to Council by 31 October 2018</t>
  </si>
  <si>
    <t>Reviewed organisational structure submitted to Council by 31 October 2018</t>
  </si>
  <si>
    <t/>
  </si>
  <si>
    <t>Sign 57 performance agreements with all directors by 31 July</t>
  </si>
  <si>
    <t>Number of agreements signed by 31 July</t>
  </si>
  <si>
    <t>New KPI</t>
  </si>
  <si>
    <t>By 31 July</t>
  </si>
  <si>
    <t>Signed performance agreements</t>
  </si>
  <si>
    <t>Departmental SDBIP approved</t>
  </si>
  <si>
    <t>Within 28 days after the approval of the main budget by council</t>
  </si>
  <si>
    <t>Approved departmental SDBIP</t>
  </si>
  <si>
    <t>Formal evaluation of the performance of directors in terms of their signed agreements</t>
  </si>
  <si>
    <t>Number of formal evaluations completed</t>
  </si>
  <si>
    <t>At least 2 formal evaluations per annum</t>
  </si>
  <si>
    <t>Evaluation report and signed scoring sheets</t>
  </si>
  <si>
    <t>Review the roles and responsibilities and complete the Section 53 report in terms of the MSA and submit to council by 31 May</t>
  </si>
  <si>
    <t>Submitted to council by 31 May</t>
  </si>
  <si>
    <t>Proof of Submission to Council</t>
  </si>
  <si>
    <t>Sign performance agreements and performance development plans with all identified personnel before 31 August</t>
  </si>
  <si>
    <t>% signed agreements and development plans</t>
  </si>
  <si>
    <t>100% signed by 31 August</t>
  </si>
  <si>
    <t>Ignite PMS report and Signed agreements and development plans</t>
  </si>
  <si>
    <t>Evaluate all identified personnel in terms of the performance management system</t>
  </si>
  <si>
    <t>By 31 August for previous year end and by 28 February for mid year</t>
  </si>
  <si>
    <t>PMS evaluation report and individual score sheets</t>
  </si>
  <si>
    <t>Initiate the meeting of the District IDP/ LED managers forum</t>
  </si>
  <si>
    <t>Submit quarterly performance reports ito the Top Layer SDBIP to Council</t>
  </si>
  <si>
    <t>Number of reports submitted to the Performance Audit Committee</t>
  </si>
  <si>
    <t>Carry out integrated development investment promotion activities (including capacity support to local municipalities)</t>
  </si>
  <si>
    <t>Unspecified [Non-core Function] - Unspecified</t>
  </si>
  <si>
    <t>Develop at least 3 functional area business plans containing short, medium and long term outputs with regard to personnel, material, infrastructure and average costing and submit to the MM by 31 October</t>
  </si>
  <si>
    <t>Business plan submitted by 31 October</t>
  </si>
  <si>
    <t>By 31 October</t>
  </si>
  <si>
    <t>Proof of submission</t>
  </si>
  <si>
    <t xml:space="preserve">Submit input for monthly portfolio progress reports by deadline </t>
  </si>
  <si>
    <t>Oversee the implementation and execution of relevant grant funding and/or functional related agreements and submit quarterly progress report on existing agreements to the Finance department</t>
  </si>
  <si>
    <t>Submit gift register by the 10th working day of every month in terms of SCM Regulation 43 monthly to SCM</t>
  </si>
  <si>
    <t>Number of registers submitted by the 10th working day of every month</t>
  </si>
  <si>
    <t>Monthly by the 10th working day</t>
  </si>
  <si>
    <t>Spend at least 85% of the operating budget on assigned functional areas to ensure effective, efficient and economic use of resources</t>
  </si>
  <si>
    <t>% operating budget spent on assigned functional areas</t>
  </si>
  <si>
    <t>Report from the financial system</t>
  </si>
  <si>
    <t>Review the Tourism Operational Plan and submit to Council by 31 January</t>
  </si>
  <si>
    <t>Tourism operational plan submitted to Council</t>
  </si>
  <si>
    <t>By 31 January</t>
  </si>
  <si>
    <t>Facilitate the district Tourism Stakeholder meetings</t>
  </si>
  <si>
    <t>Agenda and minutes of  district Tourism Stakeholder meetings</t>
  </si>
  <si>
    <t>Compile and distribute monthly Internal Newsletters</t>
  </si>
  <si>
    <t>12 internal newsletters published per annum</t>
  </si>
  <si>
    <t>Respond to all formal external media enquiries within 72 working hours</t>
  </si>
  <si>
    <t>% enquiries responded to within 72 working hours</t>
  </si>
  <si>
    <t>Within 72 working hours</t>
  </si>
  <si>
    <t>Proof with received date and proof of submission with date</t>
  </si>
  <si>
    <t>Compile and submit at least 1 press release per month</t>
  </si>
  <si>
    <t>Number of press releases compiled and submitted</t>
  </si>
  <si>
    <t>12 per annum</t>
  </si>
  <si>
    <t>Submit the Skills Development plan (WSP) and Annual Training Report  (ATR) by 30 April</t>
  </si>
  <si>
    <t>WSP and ATR submitted by 30 April</t>
  </si>
  <si>
    <t>WSP and ATR by 30 April</t>
  </si>
  <si>
    <t>Review the Employment Equity plan and submit the Employment Equity report to Dept of Labour by 15 January</t>
  </si>
  <si>
    <t>Employment Equity report submitted electronically by 15 January</t>
  </si>
  <si>
    <t>By 15 January</t>
  </si>
  <si>
    <t xml:space="preserve">Facilitate training Committee meetings </t>
  </si>
  <si>
    <t>Minutes of Training Committee Meetings</t>
  </si>
  <si>
    <t>Initiate the meeting of the Local Labour Forum</t>
  </si>
  <si>
    <t>2 per annum</t>
  </si>
  <si>
    <t>20 per annum</t>
  </si>
  <si>
    <t>Spend at least 95% of the maintenance budget by 30 June {(Actual expenditure on maintenance divided by the total approved maintenance budget)x100}</t>
  </si>
  <si>
    <t>% of maintenance budget spent</t>
  </si>
  <si>
    <t>Limit overtime and standby cost to not exceed more than 5% of the actual salary expenditure by 30 June {(Total overtime expenditure divided by the salary expenditure)x100)</t>
  </si>
  <si>
    <t>Approve the departmental SDBIP with the Directors to approve the KPI's and targets within 28 days after the approval of the main budget by Council</t>
  </si>
  <si>
    <t>Sign performance agreements with all management direct reportees before 31 August</t>
  </si>
  <si>
    <t>Initiate quarterly meetings with local municipalities to standardise fire service delivery and formalise service delivery protocols</t>
  </si>
  <si>
    <t>Annual Financial Statements or Report from the financial system (Trial Balance)</t>
  </si>
  <si>
    <t>Government Skills Development Programme Payment Report compiled by Payroll Department</t>
  </si>
  <si>
    <t>Asset additions and trial balance drawn from financial system</t>
  </si>
  <si>
    <t>Submit service terminations monthly before the 25th of each month</t>
  </si>
  <si>
    <t>Billing report</t>
  </si>
  <si>
    <t>Signed-off salary reconciliations</t>
  </si>
  <si>
    <t>Quarterly monitor user creation, access and termination on the active directory, SAMRAS and Collaborator systems</t>
  </si>
  <si>
    <t>Signed-off store reconciliation</t>
  </si>
  <si>
    <t>Signed-off stock take listing report</t>
  </si>
  <si>
    <t>Contract Registration Application system report</t>
  </si>
  <si>
    <t>Grader and maintenance schedules</t>
  </si>
  <si>
    <t>Minutes of Municipal Planning Tribunal meetings</t>
  </si>
  <si>
    <t>Functional business plan developed with short, medium and long term goals</t>
  </si>
  <si>
    <t>Publications, screenshots, reports or letters of acknowledgement</t>
  </si>
  <si>
    <t>Employment Equity Act Form 2 &amp; Employment Equity Form 4</t>
  </si>
  <si>
    <t>Report from the financial system, Work Place Skills Plan and Annual Training Report</t>
  </si>
  <si>
    <t>Notice, Agenda and Minutes</t>
  </si>
  <si>
    <t>Monthly report, Communication to Committee services</t>
  </si>
  <si>
    <t>Submit monthly reports to the Portfolio Committee</t>
  </si>
  <si>
    <t>Property rates</t>
  </si>
  <si>
    <t>Service charges - electricity revenue</t>
  </si>
  <si>
    <t>Service charges - water revenue</t>
  </si>
  <si>
    <t>Service charges - sanitation revenue</t>
  </si>
  <si>
    <t>Service charges - refuse revenue</t>
  </si>
  <si>
    <t>Service charges - other</t>
  </si>
  <si>
    <t>Rental of facilities and equipment</t>
  </si>
  <si>
    <t>Interest earned - external investments</t>
  </si>
  <si>
    <t>Interest earned - outstanding debtors</t>
  </si>
  <si>
    <t>Dividends received</t>
  </si>
  <si>
    <t>Fines, penalties and forfeits</t>
  </si>
  <si>
    <t>Licences and permits</t>
  </si>
  <si>
    <t>Agency services</t>
  </si>
  <si>
    <t>Transfers and subsidies</t>
  </si>
  <si>
    <t>Other revenue</t>
  </si>
  <si>
    <t>Gains on disposal of PPE</t>
  </si>
  <si>
    <t>Executive and Council [Core function]  - Mayor and Council</t>
  </si>
  <si>
    <t>Corporate and Community Services</t>
  </si>
  <si>
    <t>Finance and Administration [Core function]  - Property Services</t>
  </si>
  <si>
    <t>Public Safety [Core function]  - Civil Defence</t>
  </si>
  <si>
    <t>Sport and Recreation [Non-core Function] - Recreational Facilities</t>
  </si>
  <si>
    <t>Planning and Development [Core function]  - Town Planning, Building Regulations and Enforcement, and City Engineer</t>
  </si>
  <si>
    <t>Road Transport [Non-core Function] - Road and Traffic Regulation</t>
  </si>
  <si>
    <t>Road Transport [Non-core Function] - Roads</t>
  </si>
  <si>
    <t>REVENUE (CRR)</t>
  </si>
  <si>
    <t>2018/07/01</t>
  </si>
  <si>
    <t>2019/06/30</t>
  </si>
  <si>
    <t>Furniture and Office Equipment</t>
  </si>
  <si>
    <t>Urns</t>
  </si>
  <si>
    <t>Steel Cabinets</t>
  </si>
  <si>
    <t>Chairs: Archives</t>
  </si>
  <si>
    <t>Machinery and Equipment</t>
  </si>
  <si>
    <t>Airconditioner</t>
  </si>
  <si>
    <t>Newe wheel chair lift .</t>
  </si>
  <si>
    <t>Computer Equipment</t>
  </si>
  <si>
    <t>Laptop Council Chambers</t>
  </si>
  <si>
    <t xml:space="preserve">Cooling Box </t>
  </si>
  <si>
    <t>Chairs</t>
  </si>
  <si>
    <t>Desk</t>
  </si>
  <si>
    <t>Cabinet</t>
  </si>
  <si>
    <t>Microwaves</t>
  </si>
  <si>
    <t>Filing cabinet</t>
  </si>
  <si>
    <t>Credenza</t>
  </si>
  <si>
    <t>Gasblaasvlam</t>
  </si>
  <si>
    <t>Desktop Computer</t>
  </si>
  <si>
    <t>Licences and Rights</t>
  </si>
  <si>
    <t>'Dioxide and  Particular matter ' analiseerder</t>
  </si>
  <si>
    <t>High Pressure Gun</t>
  </si>
  <si>
    <t>Mini Ovens</t>
  </si>
  <si>
    <t>Fridges</t>
  </si>
  <si>
    <t xml:space="preserve">2 Plate stove / oven </t>
  </si>
  <si>
    <t>3 Piece Lounge Suits</t>
  </si>
  <si>
    <t>Office Chair</t>
  </si>
  <si>
    <t>Operational Buildings</t>
  </si>
  <si>
    <t>Complete steel structure at Clanwilliam Fire Station</t>
  </si>
  <si>
    <t>Build new structure at Malmesbury</t>
  </si>
  <si>
    <t>Paving Clanwilliam Fire Station</t>
  </si>
  <si>
    <t xml:space="preserve">Laptop </t>
  </si>
  <si>
    <t>Desktop  Computer  ( Admin / Fire Stations )</t>
  </si>
  <si>
    <t>Scanners ( Fire Stations )</t>
  </si>
  <si>
    <t>Transport Assets</t>
  </si>
  <si>
    <t>Firetruck ( Completing new Fire Truck )</t>
  </si>
  <si>
    <t>Completing work on new Iveco</t>
  </si>
  <si>
    <t>Radio equipment and infrastructure</t>
  </si>
  <si>
    <t>Shredder machine</t>
  </si>
  <si>
    <t>Wind sock pole</t>
  </si>
  <si>
    <t>Flipchart</t>
  </si>
  <si>
    <t>Office Desks</t>
  </si>
  <si>
    <t>Ambulance station : Replace motor</t>
  </si>
  <si>
    <t>Server Room :Backup Server ( W/H)</t>
  </si>
  <si>
    <t>Line Item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</si>
</sst>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quot;R&quot;\ * #,##0_ ;_ &quot;R&quot;\ * \-#,##0_ ;_ &quot;R&quot;\ * &quot;-&quot;_ ;_ @_ "/>
    <numFmt numFmtId="41" formatCode="_ * #,##0_ ;_ * \-#,##0_ ;_ * &quot;-&quot;_ ;_ @_ "/>
    <numFmt numFmtId="44" formatCode="_ &quot;R&quot;\ * #,##0.00_ ;_ &quot;R&quot;\ * \-#,##0.00_ ;_ &quot;R&quot;\ * &quot;-&quot;??_ ;_ @_ "/>
    <numFmt numFmtId="43" formatCode="_ * #,##0.00_ ;_ * \-#,##0.00_ ;_ * &quot;-&quot;??_ ;_ @_ "/>
    <numFmt numFmtId="164" formatCode="_ &quot;R&quot;\ * #,##0_ ;_ &quot;R&quot;\ * \-#,##0_ ;_ &quot;R&quot;\ * &quot;-&quot;??_ ;_ @_ "/>
    <numFmt numFmtId="165" formatCode="mmmm"/>
    <numFmt numFmtId="166" formatCode="0.0"/>
    <numFmt numFmtId="167" formatCode="_ * #,##0_ ;_ * \-#,##0_ ;_ * &quot;-&quot;??_ ;_ @_ "/>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i/>
      <sz val="9"/>
      <name val="Calibri"/>
      <family val="2"/>
      <scheme val="minor"/>
    </font>
    <font>
      <i/>
      <sz val="9"/>
      <color theme="1"/>
      <name val="Calibri"/>
      <family val="2"/>
      <scheme val="minor"/>
    </font>
    <font>
      <i/>
      <sz val="9"/>
      <color theme="0"/>
      <name val="Calibri"/>
      <family val="2"/>
      <scheme val="minor"/>
    </font>
    <font>
      <i/>
      <sz val="9"/>
      <color rgb="FF000000"/>
      <name val="Calibri"/>
      <family val="2"/>
      <scheme val="minor"/>
    </font>
    <font>
      <b/>
      <i/>
      <sz val="9"/>
      <color theme="1"/>
      <name val="Calibri"/>
      <family val="2"/>
      <scheme val="minor"/>
    </font>
    <font>
      <sz val="11"/>
      <color theme="0" tint="-0.499984740745262"/>
      <name val="Calibri"/>
      <family val="2"/>
      <scheme val="minor"/>
    </font>
    <font>
      <b/>
      <sz val="11"/>
      <color theme="0" tint="-0.499984740745262"/>
      <name val="Calibri"/>
      <family val="2"/>
      <scheme val="minor"/>
    </font>
    <font>
      <b/>
      <sz val="24"/>
      <color theme="1"/>
      <name val="Calibri"/>
      <family val="2"/>
      <scheme val="minor"/>
    </font>
    <font>
      <sz val="10"/>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3"/>
        <bgColor indexed="64"/>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auto="1"/>
      </right>
      <top style="hair">
        <color auto="1"/>
      </top>
      <bottom style="thin">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hair">
        <color auto="1"/>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top style="hair">
        <color auto="1"/>
      </top>
      <bottom style="hair">
        <color auto="1"/>
      </bottom>
      <diagonal/>
    </border>
    <border>
      <left style="hair">
        <color auto="1"/>
      </left>
      <right/>
      <top style="thin">
        <color indexed="64"/>
      </top>
      <bottom style="thin">
        <color indexed="64"/>
      </bottom>
      <diagonal/>
    </border>
    <border>
      <left style="hair">
        <color auto="1"/>
      </left>
      <right/>
      <top/>
      <bottom style="hair">
        <color auto="1"/>
      </bottom>
      <diagonal/>
    </border>
    <border>
      <left style="thin">
        <color indexed="64"/>
      </left>
      <right style="thin">
        <color indexed="64"/>
      </right>
      <top/>
      <bottom style="hair">
        <color auto="1"/>
      </bottom>
      <diagonal/>
    </border>
    <border>
      <left style="hair">
        <color auto="1"/>
      </left>
      <right/>
      <top style="hair">
        <color auto="1"/>
      </top>
      <bottom style="thin">
        <color indexed="64"/>
      </bottom>
      <diagonal/>
    </border>
    <border>
      <left/>
      <right style="hair">
        <color auto="1"/>
      </right>
      <top style="thin">
        <color indexed="64"/>
      </top>
      <bottom style="thin">
        <color indexed="64"/>
      </bottom>
      <diagonal/>
    </border>
    <border>
      <left style="thin">
        <color indexed="64"/>
      </left>
      <right style="hair">
        <color auto="1"/>
      </right>
      <top/>
      <bottom style="hair">
        <color auto="1"/>
      </bottom>
      <diagonal/>
    </border>
    <border>
      <left/>
      <right/>
      <top style="hair">
        <color auto="1"/>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diagonal/>
    </border>
    <border>
      <left style="dotted">
        <color auto="1"/>
      </left>
      <right style="dotted">
        <color auto="1"/>
      </right>
      <top/>
      <bottom style="dotted">
        <color auto="1"/>
      </bottom>
      <diagonal/>
    </border>
    <border>
      <left style="dotted">
        <color auto="1"/>
      </left>
      <right/>
      <top style="thin">
        <color indexed="64"/>
      </top>
      <bottom style="double">
        <color indexed="64"/>
      </bottom>
      <diagonal/>
    </border>
    <border>
      <left/>
      <right/>
      <top style="thin">
        <color indexed="64"/>
      </top>
      <bottom style="double">
        <color indexed="64"/>
      </bottom>
      <diagonal/>
    </border>
    <border>
      <left/>
      <right style="dotted">
        <color auto="1"/>
      </right>
      <top style="thin">
        <color indexed="64"/>
      </top>
      <bottom style="double">
        <color indexed="64"/>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43" fontId="27" fillId="0" borderId="0" applyFont="0" applyFill="0" applyBorder="0" applyAlignment="0" applyProtection="0"/>
  </cellStyleXfs>
  <cellXfs count="454">
    <xf numFmtId="0" fontId="0" fillId="0" borderId="0" xfId="0"/>
    <xf numFmtId="0" fontId="0" fillId="33" borderId="11" xfId="0" applyFill="1" applyBorder="1" applyProtection="1">
      <protection locked="0"/>
    </xf>
    <xf numFmtId="0" fontId="0" fillId="33" borderId="12" xfId="0" applyFill="1" applyBorder="1" applyProtection="1">
      <protection locked="0"/>
    </xf>
    <xf numFmtId="0" fontId="0" fillId="33" borderId="13" xfId="0" applyFill="1" applyBorder="1" applyProtection="1">
      <protection locked="0"/>
    </xf>
    <xf numFmtId="0" fontId="1" fillId="22" borderId="11" xfId="31" applyBorder="1" applyProtection="1">
      <protection locked="0"/>
    </xf>
    <xf numFmtId="0" fontId="1" fillId="22" borderId="12" xfId="31" applyBorder="1" applyProtection="1">
      <protection locked="0"/>
    </xf>
    <xf numFmtId="0" fontId="1" fillId="22" borderId="13" xfId="31" applyBorder="1" applyProtection="1">
      <protection locked="0"/>
    </xf>
    <xf numFmtId="0" fontId="1" fillId="26" borderId="11" xfId="35" applyBorder="1" applyProtection="1">
      <protection locked="0"/>
    </xf>
    <xf numFmtId="0" fontId="1" fillId="26" borderId="12" xfId="35" applyBorder="1" applyProtection="1">
      <protection locked="0"/>
    </xf>
    <xf numFmtId="0" fontId="1" fillId="26" borderId="13" xfId="35" applyBorder="1" applyProtection="1">
      <protection locked="0"/>
    </xf>
    <xf numFmtId="0" fontId="0" fillId="0" borderId="0" xfId="0" applyFill="1" applyBorder="1" applyProtection="1"/>
    <xf numFmtId="0" fontId="0" fillId="0" borderId="0" xfId="0" applyProtection="1"/>
    <xf numFmtId="0" fontId="17" fillId="0" borderId="18" xfId="0" applyFont="1" applyFill="1" applyBorder="1" applyProtection="1"/>
    <xf numFmtId="0" fontId="0" fillId="0" borderId="0" xfId="0" applyAlignment="1" applyProtection="1">
      <alignment horizontal="center"/>
    </xf>
    <xf numFmtId="0" fontId="17" fillId="9" borderId="0" xfId="18" applyProtection="1"/>
    <xf numFmtId="0" fontId="17" fillId="0" borderId="0" xfId="18" applyFill="1" applyBorder="1" applyProtection="1"/>
    <xf numFmtId="0" fontId="17" fillId="13" borderId="0" xfId="22" applyProtection="1"/>
    <xf numFmtId="0" fontId="17" fillId="13" borderId="0" xfId="22" applyAlignment="1" applyProtection="1">
      <alignment horizontal="center"/>
    </xf>
    <xf numFmtId="0" fontId="17" fillId="17" borderId="0" xfId="26" applyProtection="1"/>
    <xf numFmtId="0" fontId="17" fillId="21" borderId="0" xfId="30" applyProtection="1"/>
    <xf numFmtId="0" fontId="17" fillId="25" borderId="0" xfId="34" applyProtection="1"/>
    <xf numFmtId="0" fontId="17" fillId="29" borderId="0" xfId="38" applyProtection="1"/>
    <xf numFmtId="0" fontId="17" fillId="0" borderId="0" xfId="0" applyFont="1" applyFill="1" applyProtection="1"/>
    <xf numFmtId="0" fontId="16" fillId="0" borderId="0" xfId="0" applyFont="1" applyAlignment="1" applyProtection="1">
      <alignment horizontal="center"/>
    </xf>
    <xf numFmtId="0" fontId="16" fillId="0" borderId="0" xfId="0" applyFont="1" applyFill="1" applyBorder="1" applyAlignment="1" applyProtection="1">
      <alignment horizontal="center"/>
    </xf>
    <xf numFmtId="0" fontId="0" fillId="0" borderId="17" xfId="0" applyFill="1" applyBorder="1" applyProtection="1"/>
    <xf numFmtId="49" fontId="16" fillId="0" borderId="0" xfId="0" applyNumberFormat="1" applyFont="1" applyAlignment="1" applyProtection="1">
      <alignment horizontal="center"/>
    </xf>
    <xf numFmtId="0" fontId="16" fillId="0" borderId="0" xfId="0" applyFont="1"/>
    <xf numFmtId="0" fontId="0" fillId="0" borderId="0" xfId="0" applyAlignment="1">
      <alignment horizontal="center"/>
    </xf>
    <xf numFmtId="0" fontId="0" fillId="33" borderId="29" xfId="0" applyFill="1" applyBorder="1" applyProtection="1">
      <protection locked="0"/>
    </xf>
    <xf numFmtId="0" fontId="0" fillId="10" borderId="29" xfId="19" applyFont="1" applyBorder="1" applyProtection="1">
      <protection locked="0"/>
    </xf>
    <xf numFmtId="0" fontId="0" fillId="10" borderId="28" xfId="19" applyFont="1" applyBorder="1" applyProtection="1">
      <protection locked="0"/>
    </xf>
    <xf numFmtId="0" fontId="0" fillId="33" borderId="29" xfId="0" applyFill="1" applyBorder="1" applyAlignment="1" applyProtection="1">
      <alignment horizontal="center"/>
      <protection locked="0"/>
    </xf>
    <xf numFmtId="0" fontId="0" fillId="33" borderId="28" xfId="0" applyFill="1" applyBorder="1" applyProtection="1">
      <protection locked="0"/>
    </xf>
    <xf numFmtId="0" fontId="0" fillId="33" borderId="28" xfId="0" applyFill="1" applyBorder="1" applyAlignment="1" applyProtection="1">
      <alignment horizontal="center"/>
      <protection locked="0"/>
    </xf>
    <xf numFmtId="0" fontId="0" fillId="33" borderId="27" xfId="0" applyFill="1" applyBorder="1" applyProtection="1">
      <protection locked="0"/>
    </xf>
    <xf numFmtId="0" fontId="0" fillId="0" borderId="0" xfId="0" applyFill="1" applyBorder="1" applyAlignment="1" applyProtection="1">
      <alignment vertical="top"/>
    </xf>
    <xf numFmtId="0" fontId="0" fillId="0" borderId="10" xfId="0" applyFill="1" applyBorder="1" applyProtection="1"/>
    <xf numFmtId="0" fontId="0" fillId="0" borderId="10" xfId="0" applyFill="1" applyBorder="1" applyProtection="1">
      <protection locked="0"/>
    </xf>
    <xf numFmtId="0" fontId="0" fillId="33" borderId="12" xfId="0" applyFill="1" applyBorder="1" applyProtection="1"/>
    <xf numFmtId="0" fontId="0" fillId="33" borderId="13" xfId="0" applyFill="1" applyBorder="1" applyProtection="1"/>
    <xf numFmtId="0" fontId="0" fillId="37" borderId="0" xfId="0" applyFill="1"/>
    <xf numFmtId="0" fontId="13" fillId="12" borderId="0" xfId="21" applyFont="1" applyAlignment="1">
      <alignment horizontal="center"/>
    </xf>
    <xf numFmtId="0" fontId="0" fillId="38" borderId="0" xfId="0" applyFill="1"/>
    <xf numFmtId="0" fontId="0" fillId="0" borderId="0" xfId="0" applyFill="1"/>
    <xf numFmtId="0" fontId="13" fillId="16" borderId="0" xfId="25" applyFont="1" applyAlignment="1">
      <alignment horizontal="center"/>
    </xf>
    <xf numFmtId="0" fontId="17" fillId="24" borderId="0" xfId="33" applyAlignment="1">
      <alignment horizontal="center"/>
    </xf>
    <xf numFmtId="0" fontId="17" fillId="0" borderId="0" xfId="26" applyFill="1" applyProtection="1"/>
    <xf numFmtId="0" fontId="17" fillId="17" borderId="0" xfId="26" applyAlignment="1" applyProtection="1">
      <alignment horizontal="center"/>
    </xf>
    <xf numFmtId="0" fontId="0" fillId="0" borderId="0" xfId="0" applyFill="1" applyBorder="1" applyAlignment="1" applyProtection="1">
      <alignment horizontal="center"/>
    </xf>
    <xf numFmtId="0" fontId="24" fillId="17" borderId="0" xfId="26" applyFont="1" applyProtection="1"/>
    <xf numFmtId="0" fontId="25" fillId="0" borderId="0" xfId="0" applyFont="1" applyAlignment="1" applyProtection="1">
      <alignment horizontal="center"/>
    </xf>
    <xf numFmtId="0" fontId="24" fillId="0" borderId="0" xfId="0" applyFont="1" applyFill="1" applyBorder="1" applyProtection="1"/>
    <xf numFmtId="0" fontId="24" fillId="0" borderId="0" xfId="0" applyFont="1" applyProtection="1"/>
    <xf numFmtId="0" fontId="0" fillId="0" borderId="0" xfId="0" applyFill="1" applyBorder="1" applyProtection="1">
      <protection locked="0"/>
    </xf>
    <xf numFmtId="0" fontId="0" fillId="36" borderId="0" xfId="0" applyFill="1"/>
    <xf numFmtId="49" fontId="17" fillId="25" borderId="0" xfId="34" applyNumberFormat="1" applyAlignment="1" applyProtection="1">
      <alignment horizontal="center"/>
    </xf>
    <xf numFmtId="49" fontId="0" fillId="0" borderId="0" xfId="0" applyNumberFormat="1" applyAlignment="1" applyProtection="1">
      <alignment horizontal="center"/>
    </xf>
    <xf numFmtId="49" fontId="0" fillId="33" borderId="12" xfId="0" applyNumberFormat="1" applyFill="1" applyBorder="1" applyAlignment="1" applyProtection="1">
      <alignment horizontal="center"/>
      <protection locked="0"/>
    </xf>
    <xf numFmtId="49" fontId="0" fillId="33" borderId="13" xfId="0" applyNumberFormat="1" applyFill="1" applyBorder="1" applyAlignment="1" applyProtection="1">
      <alignment horizontal="center"/>
      <protection locked="0"/>
    </xf>
    <xf numFmtId="0" fontId="17" fillId="0" borderId="51" xfId="18" applyFill="1" applyBorder="1" applyAlignment="1" applyProtection="1">
      <alignment horizontal="center" vertical="center" wrapText="1"/>
    </xf>
    <xf numFmtId="0" fontId="17" fillId="0" borderId="51" xfId="18" applyFill="1" applyBorder="1" applyAlignment="1" applyProtection="1">
      <alignment vertical="center" wrapText="1"/>
    </xf>
    <xf numFmtId="0" fontId="0" fillId="0" borderId="51" xfId="19" applyFont="1" applyFill="1" applyBorder="1" applyAlignment="1" applyProtection="1">
      <alignment vertical="center" wrapText="1"/>
    </xf>
    <xf numFmtId="49" fontId="1" fillId="0" borderId="51" xfId="23" applyNumberFormat="1" applyFill="1" applyBorder="1" applyAlignment="1" applyProtection="1">
      <alignment vertical="center" wrapText="1"/>
    </xf>
    <xf numFmtId="0" fontId="1" fillId="0" borderId="51" xfId="31" applyFill="1" applyBorder="1" applyAlignment="1" applyProtection="1">
      <alignment vertical="center" wrapText="1"/>
    </xf>
    <xf numFmtId="0" fontId="18" fillId="0" borderId="51" xfId="31" applyFont="1" applyFill="1" applyBorder="1" applyAlignment="1" applyProtection="1">
      <alignment vertical="center" wrapText="1"/>
    </xf>
    <xf numFmtId="0" fontId="0" fillId="0" borderId="51" xfId="0" applyFill="1" applyBorder="1" applyAlignment="1" applyProtection="1">
      <alignment vertical="center" wrapText="1"/>
    </xf>
    <xf numFmtId="49" fontId="1" fillId="0" borderId="51" xfId="27" applyNumberFormat="1" applyFill="1" applyBorder="1" applyAlignment="1" applyProtection="1">
      <alignment vertical="center" wrapText="1"/>
    </xf>
    <xf numFmtId="49" fontId="0" fillId="0" borderId="51" xfId="0" applyNumberFormat="1" applyFill="1" applyBorder="1" applyAlignment="1" applyProtection="1">
      <alignment vertical="center" wrapText="1"/>
    </xf>
    <xf numFmtId="49" fontId="1" fillId="0" borderId="51" xfId="39" applyNumberFormat="1" applyFill="1" applyBorder="1" applyAlignment="1" applyProtection="1">
      <alignment vertical="center" wrapText="1"/>
    </xf>
    <xf numFmtId="0" fontId="1" fillId="0" borderId="51" xfId="39" applyFill="1" applyBorder="1" applyAlignment="1" applyProtection="1">
      <alignment vertical="center" wrapText="1"/>
    </xf>
    <xf numFmtId="49" fontId="1" fillId="0" borderId="51" xfId="19" applyNumberFormat="1" applyFill="1" applyBorder="1" applyAlignment="1" applyProtection="1">
      <alignment vertical="center" wrapText="1"/>
    </xf>
    <xf numFmtId="49" fontId="1" fillId="0" borderId="51" xfId="35" applyNumberFormat="1" applyFill="1" applyBorder="1" applyAlignment="1" applyProtection="1">
      <alignment vertical="center" wrapText="1"/>
    </xf>
    <xf numFmtId="0" fontId="18" fillId="0" borderId="51" xfId="35" applyFont="1" applyFill="1" applyBorder="1" applyAlignment="1" applyProtection="1">
      <alignment vertical="center" wrapText="1"/>
    </xf>
    <xf numFmtId="49" fontId="1" fillId="0" borderId="51" xfId="31" applyNumberFormat="1" applyFill="1" applyBorder="1" applyAlignment="1" applyProtection="1">
      <alignment vertical="center" wrapText="1"/>
    </xf>
    <xf numFmtId="49" fontId="0" fillId="39" borderId="51" xfId="0" applyNumberFormat="1" applyFill="1" applyBorder="1" applyAlignment="1" applyProtection="1">
      <alignment vertical="center" wrapText="1"/>
    </xf>
    <xf numFmtId="0" fontId="18" fillId="39" borderId="51" xfId="35" applyFont="1" applyFill="1" applyBorder="1" applyAlignment="1" applyProtection="1">
      <alignment vertical="center" wrapText="1"/>
    </xf>
    <xf numFmtId="0" fontId="0" fillId="39" borderId="51" xfId="0" applyFill="1" applyBorder="1" applyAlignment="1" applyProtection="1">
      <alignment vertical="center" wrapText="1"/>
    </xf>
    <xf numFmtId="0" fontId="18" fillId="39" borderId="51" xfId="0" applyFont="1" applyFill="1" applyBorder="1" applyAlignment="1" applyProtection="1">
      <alignment vertical="center" wrapText="1"/>
    </xf>
    <xf numFmtId="49" fontId="0" fillId="0" borderId="51" xfId="0" applyNumberFormat="1" applyFill="1" applyBorder="1" applyAlignment="1" applyProtection="1">
      <alignment horizontal="left" vertical="center" wrapText="1"/>
    </xf>
    <xf numFmtId="0" fontId="18" fillId="0" borderId="51" xfId="0" applyFont="1" applyFill="1" applyBorder="1" applyAlignment="1" applyProtection="1">
      <alignment vertical="center" wrapText="1"/>
    </xf>
    <xf numFmtId="49" fontId="18" fillId="39" borderId="51" xfId="0" applyNumberFormat="1" applyFont="1" applyFill="1" applyBorder="1" applyAlignment="1" applyProtection="1">
      <alignment horizontal="center" vertical="center" wrapText="1"/>
    </xf>
    <xf numFmtId="49" fontId="0" fillId="0" borderId="51" xfId="0" applyNumberFormat="1" applyFill="1" applyBorder="1" applyAlignment="1" applyProtection="1">
      <alignment horizontal="center" vertical="center" wrapText="1"/>
    </xf>
    <xf numFmtId="0" fontId="0" fillId="0" borderId="51" xfId="0" applyNumberFormat="1" applyFill="1" applyBorder="1" applyAlignment="1" applyProtection="1">
      <alignment vertical="center" wrapText="1"/>
    </xf>
    <xf numFmtId="0" fontId="17" fillId="40" borderId="51" xfId="0" applyFont="1" applyFill="1" applyBorder="1" applyAlignment="1" applyProtection="1">
      <alignment horizontal="center" vertical="center" wrapText="1"/>
    </xf>
    <xf numFmtId="0" fontId="17" fillId="40" borderId="51" xfId="0" applyNumberFormat="1" applyFont="1" applyFill="1" applyBorder="1" applyAlignment="1" applyProtection="1">
      <alignment horizontal="center" vertical="center" wrapText="1"/>
    </xf>
    <xf numFmtId="0" fontId="17" fillId="40" borderId="51" xfId="34" applyNumberFormat="1" applyFont="1" applyFill="1" applyBorder="1" applyAlignment="1" applyProtection="1">
      <alignment horizontal="center" vertical="center" wrapText="1"/>
    </xf>
    <xf numFmtId="0" fontId="17" fillId="40" borderId="51" xfId="38" applyNumberFormat="1" applyFont="1" applyFill="1" applyBorder="1" applyAlignment="1" applyProtection="1">
      <alignment horizontal="center" vertical="center" wrapText="1"/>
    </xf>
    <xf numFmtId="0" fontId="17" fillId="40" borderId="51" xfId="18" applyNumberFormat="1" applyFont="1" applyFill="1" applyBorder="1" applyAlignment="1" applyProtection="1">
      <alignment horizontal="center" vertical="center" wrapText="1"/>
    </xf>
    <xf numFmtId="0" fontId="17" fillId="40" borderId="51" xfId="0" applyNumberFormat="1" applyFont="1" applyFill="1" applyBorder="1" applyAlignment="1" applyProtection="1">
      <alignment horizontal="left" vertical="center" wrapText="1"/>
    </xf>
    <xf numFmtId="0" fontId="17" fillId="40" borderId="51" xfId="38" applyFont="1" applyFill="1" applyBorder="1" applyAlignment="1" applyProtection="1">
      <alignment horizontal="center" vertical="center" wrapText="1"/>
    </xf>
    <xf numFmtId="0" fontId="17" fillId="40" borderId="51" xfId="0" quotePrefix="1" applyNumberFormat="1" applyFont="1" applyFill="1" applyBorder="1" applyAlignment="1" applyProtection="1">
      <alignment horizontal="center" vertical="center" wrapText="1"/>
    </xf>
    <xf numFmtId="0" fontId="0" fillId="0" borderId="51" xfId="0" applyFill="1" applyBorder="1" applyAlignment="1" applyProtection="1">
      <alignment horizontal="center" vertical="center" wrapText="1"/>
    </xf>
    <xf numFmtId="0" fontId="19" fillId="0" borderId="51" xfId="0" applyFont="1" applyFill="1" applyBorder="1" applyAlignment="1" applyProtection="1">
      <alignment horizontal="center" vertical="center" wrapText="1"/>
    </xf>
    <xf numFmtId="49" fontId="19" fillId="0" borderId="51" xfId="24" applyNumberFormat="1" applyFont="1" applyFill="1" applyBorder="1" applyAlignment="1" applyProtection="1">
      <alignment horizontal="center" vertical="center" wrapText="1"/>
    </xf>
    <xf numFmtId="0" fontId="19" fillId="0" borderId="51" xfId="32" applyFont="1" applyFill="1" applyBorder="1" applyAlignment="1" applyProtection="1">
      <alignment horizontal="center" vertical="center" wrapText="1"/>
    </xf>
    <xf numFmtId="0" fontId="19" fillId="0" borderId="51" xfId="30" applyFont="1" applyFill="1" applyBorder="1" applyAlignment="1" applyProtection="1">
      <alignment horizontal="center" vertical="center" wrapText="1"/>
    </xf>
    <xf numFmtId="0" fontId="20" fillId="0" borderId="51" xfId="0" applyFont="1" applyFill="1" applyBorder="1" applyAlignment="1" applyProtection="1">
      <alignment horizontal="center" vertical="center" wrapText="1"/>
    </xf>
    <xf numFmtId="49" fontId="19" fillId="0" borderId="51" xfId="28" applyNumberFormat="1" applyFont="1" applyFill="1" applyBorder="1" applyAlignment="1" applyProtection="1">
      <alignment horizontal="center" vertical="center" wrapText="1"/>
    </xf>
    <xf numFmtId="49" fontId="19" fillId="0" borderId="51" xfId="0" applyNumberFormat="1" applyFont="1" applyFill="1" applyBorder="1" applyAlignment="1" applyProtection="1">
      <alignment horizontal="center" vertical="center" wrapText="1"/>
    </xf>
    <xf numFmtId="49" fontId="19" fillId="0" borderId="51" xfId="40" applyNumberFormat="1" applyFont="1" applyFill="1" applyBorder="1" applyAlignment="1" applyProtection="1">
      <alignment horizontal="center" vertical="center" wrapText="1"/>
    </xf>
    <xf numFmtId="49" fontId="19" fillId="0" borderId="51" xfId="20" applyNumberFormat="1" applyFont="1" applyFill="1" applyBorder="1" applyAlignment="1" applyProtection="1">
      <alignment horizontal="center" vertical="center" wrapText="1"/>
    </xf>
    <xf numFmtId="49" fontId="19" fillId="0" borderId="51" xfId="36" applyNumberFormat="1" applyFont="1" applyFill="1" applyBorder="1" applyAlignment="1" applyProtection="1">
      <alignment horizontal="center" vertical="center" wrapText="1"/>
    </xf>
    <xf numFmtId="49" fontId="19" fillId="0" borderId="51" xfId="32" applyNumberFormat="1" applyFont="1" applyFill="1" applyBorder="1" applyAlignment="1" applyProtection="1">
      <alignment horizontal="center" vertical="center" wrapText="1"/>
    </xf>
    <xf numFmtId="49" fontId="0" fillId="39" borderId="51" xfId="24" applyNumberFormat="1" applyFont="1" applyFill="1" applyBorder="1" applyAlignment="1" applyProtection="1">
      <alignment horizontal="center" vertical="center" wrapText="1"/>
    </xf>
    <xf numFmtId="0" fontId="20" fillId="39" borderId="51" xfId="0" applyFont="1" applyFill="1" applyBorder="1" applyAlignment="1" applyProtection="1">
      <alignment horizontal="center" vertical="center" wrapText="1"/>
    </xf>
    <xf numFmtId="49" fontId="1" fillId="39" borderId="51" xfId="28" applyNumberFormat="1" applyFill="1" applyBorder="1" applyAlignment="1" applyProtection="1">
      <alignment horizontal="center" vertical="center" wrapText="1"/>
    </xf>
    <xf numFmtId="0" fontId="20" fillId="39" borderId="51" xfId="40" applyFont="1" applyFill="1" applyBorder="1" applyAlignment="1" applyProtection="1">
      <alignment horizontal="center" vertical="center" wrapText="1"/>
    </xf>
    <xf numFmtId="0" fontId="19" fillId="39" borderId="51" xfId="0" applyFont="1" applyFill="1" applyBorder="1" applyAlignment="1" applyProtection="1">
      <alignment horizontal="center" vertical="center" wrapText="1"/>
    </xf>
    <xf numFmtId="49" fontId="19" fillId="39" borderId="51" xfId="0" applyNumberFormat="1" applyFont="1" applyFill="1" applyBorder="1" applyAlignment="1" applyProtection="1">
      <alignment horizontal="center" vertical="center" wrapText="1"/>
    </xf>
    <xf numFmtId="49" fontId="20" fillId="0" borderId="51" xfId="24" applyNumberFormat="1" applyFont="1" applyFill="1" applyBorder="1" applyAlignment="1" applyProtection="1">
      <alignment horizontal="center" vertical="center" wrapText="1"/>
    </xf>
    <xf numFmtId="49" fontId="20" fillId="0" borderId="51" xfId="28" applyNumberFormat="1" applyFont="1" applyFill="1" applyBorder="1" applyAlignment="1" applyProtection="1">
      <alignment horizontal="center" vertical="center" wrapText="1"/>
    </xf>
    <xf numFmtId="49" fontId="20" fillId="0" borderId="51" xfId="32" applyNumberFormat="1" applyFont="1" applyFill="1" applyBorder="1" applyAlignment="1" applyProtection="1">
      <alignment horizontal="center" vertical="center" wrapText="1"/>
    </xf>
    <xf numFmtId="49" fontId="20" fillId="0" borderId="51" xfId="36" applyNumberFormat="1" applyFont="1" applyFill="1" applyBorder="1" applyAlignment="1" applyProtection="1">
      <alignment horizontal="center" vertical="center" wrapText="1"/>
    </xf>
    <xf numFmtId="49" fontId="20" fillId="0" borderId="51" xfId="40" applyNumberFormat="1" applyFont="1" applyFill="1" applyBorder="1" applyAlignment="1" applyProtection="1">
      <alignment horizontal="center" vertical="center" wrapText="1"/>
    </xf>
    <xf numFmtId="49" fontId="19" fillId="0" borderId="51" xfId="0" applyNumberFormat="1" applyFont="1" applyFill="1" applyBorder="1" applyAlignment="1" applyProtection="1">
      <alignment horizontal="left" vertical="center" wrapText="1"/>
    </xf>
    <xf numFmtId="0" fontId="19" fillId="39" borderId="51" xfId="0" applyNumberFormat="1" applyFont="1" applyFill="1" applyBorder="1" applyAlignment="1" applyProtection="1">
      <alignment horizontal="center" vertical="center" wrapText="1"/>
    </xf>
    <xf numFmtId="0" fontId="19" fillId="0" borderId="51" xfId="0" applyNumberFormat="1" applyFont="1" applyFill="1" applyBorder="1" applyAlignment="1" applyProtection="1">
      <alignment horizontal="center" vertical="center" wrapText="1"/>
    </xf>
    <xf numFmtId="0" fontId="1" fillId="0" borderId="51" xfId="39" applyFill="1" applyBorder="1" applyAlignment="1" applyProtection="1">
      <alignment horizontal="center" vertical="center" wrapText="1"/>
    </xf>
    <xf numFmtId="0" fontId="6" fillId="0" borderId="51" xfId="6" applyFill="1" applyBorder="1" applyAlignment="1" applyProtection="1">
      <alignment horizontal="center" vertical="center" wrapText="1"/>
      <protection locked="0"/>
    </xf>
    <xf numFmtId="49" fontId="0" fillId="0" borderId="51" xfId="23" applyNumberFormat="1" applyFont="1" applyFill="1" applyBorder="1" applyAlignment="1" applyProtection="1">
      <alignment vertical="center" wrapText="1"/>
      <protection locked="0"/>
    </xf>
    <xf numFmtId="0" fontId="1" fillId="0" borderId="51" xfId="31" applyFill="1" applyBorder="1" applyAlignment="1" applyProtection="1">
      <alignment vertical="center" wrapText="1"/>
      <protection locked="0"/>
    </xf>
    <xf numFmtId="49" fontId="1" fillId="0" borderId="51" xfId="27" applyNumberFormat="1" applyFill="1" applyBorder="1" applyAlignment="1" applyProtection="1">
      <alignment vertical="center" wrapText="1"/>
      <protection locked="0"/>
    </xf>
    <xf numFmtId="49" fontId="0" fillId="0" borderId="51" xfId="0" applyNumberFormat="1" applyFill="1" applyBorder="1" applyAlignment="1" applyProtection="1">
      <alignment vertical="center" wrapText="1"/>
      <protection locked="0"/>
    </xf>
    <xf numFmtId="49" fontId="1" fillId="0" borderId="51" xfId="39" applyNumberFormat="1" applyFill="1" applyBorder="1" applyAlignment="1" applyProtection="1">
      <alignment vertical="center" wrapText="1"/>
      <protection locked="0"/>
    </xf>
    <xf numFmtId="49" fontId="1" fillId="0" borderId="51" xfId="19" applyNumberFormat="1" applyFill="1" applyBorder="1" applyAlignment="1" applyProtection="1">
      <alignment vertical="center" wrapText="1"/>
      <protection locked="0"/>
    </xf>
    <xf numFmtId="49" fontId="1" fillId="0" borderId="51" xfId="35" applyNumberFormat="1" applyFill="1" applyBorder="1" applyAlignment="1" applyProtection="1">
      <alignment vertical="center" wrapText="1"/>
      <protection locked="0"/>
    </xf>
    <xf numFmtId="49" fontId="1" fillId="0" borderId="51" xfId="31" applyNumberFormat="1" applyFill="1" applyBorder="1" applyAlignment="1" applyProtection="1">
      <alignment vertical="center" wrapText="1"/>
      <protection locked="0"/>
    </xf>
    <xf numFmtId="49" fontId="1" fillId="39" borderId="51" xfId="23" applyNumberFormat="1" applyFill="1" applyBorder="1" applyAlignment="1" applyProtection="1">
      <alignment vertical="center" wrapText="1"/>
      <protection locked="0"/>
    </xf>
    <xf numFmtId="49" fontId="1" fillId="39" borderId="51" xfId="27" applyNumberFormat="1" applyFill="1" applyBorder="1" applyAlignment="1" applyProtection="1">
      <alignment vertical="center" wrapText="1"/>
      <protection locked="0"/>
    </xf>
    <xf numFmtId="0" fontId="1" fillId="39" borderId="51" xfId="39" applyFill="1" applyBorder="1" applyAlignment="1" applyProtection="1">
      <alignment vertical="center" wrapText="1"/>
      <protection locked="0"/>
    </xf>
    <xf numFmtId="0" fontId="0" fillId="39" borderId="51" xfId="0" applyFill="1" applyBorder="1" applyAlignment="1">
      <alignment vertical="center" wrapText="1"/>
    </xf>
    <xf numFmtId="49" fontId="0" fillId="39" borderId="51" xfId="0" applyNumberFormat="1" applyFill="1" applyBorder="1" applyAlignment="1" applyProtection="1">
      <alignment vertical="center" wrapText="1"/>
      <protection locked="0"/>
    </xf>
    <xf numFmtId="49" fontId="1" fillId="0" borderId="51" xfId="23" applyNumberFormat="1" applyFill="1" applyBorder="1" applyAlignment="1" applyProtection="1">
      <alignment vertical="center" wrapText="1"/>
      <protection locked="0"/>
    </xf>
    <xf numFmtId="49" fontId="0" fillId="0" borderId="51" xfId="35" applyNumberFormat="1" applyFont="1" applyFill="1" applyBorder="1" applyAlignment="1" applyProtection="1">
      <alignment vertical="center" wrapText="1"/>
      <protection locked="0"/>
    </xf>
    <xf numFmtId="49" fontId="0" fillId="0" borderId="51" xfId="39" applyNumberFormat="1" applyFont="1" applyFill="1" applyBorder="1" applyAlignment="1" applyProtection="1">
      <alignment vertical="center" wrapText="1"/>
      <protection locked="0"/>
    </xf>
    <xf numFmtId="0" fontId="0" fillId="0" borderId="51" xfId="0" applyFill="1" applyBorder="1" applyAlignment="1">
      <alignment horizontal="left" vertical="center" wrapText="1"/>
    </xf>
    <xf numFmtId="0" fontId="0" fillId="0" borderId="51" xfId="0" applyFill="1" applyBorder="1" applyAlignment="1">
      <alignment vertical="center" wrapText="1"/>
    </xf>
    <xf numFmtId="49" fontId="0" fillId="0" borderId="51" xfId="27" applyNumberFormat="1" applyFont="1" applyFill="1" applyBorder="1" applyAlignment="1" applyProtection="1">
      <alignment vertical="center" wrapText="1"/>
      <protection locked="0"/>
    </xf>
    <xf numFmtId="0" fontId="0" fillId="39" borderId="51" xfId="0" applyFill="1" applyBorder="1" applyAlignment="1">
      <alignment horizontal="center" vertical="center" wrapText="1"/>
    </xf>
    <xf numFmtId="0" fontId="0" fillId="0" borderId="51" xfId="0" applyNumberFormat="1" applyFill="1" applyBorder="1" applyAlignment="1" applyProtection="1">
      <alignment horizontal="center" vertical="center" wrapText="1"/>
    </xf>
    <xf numFmtId="0" fontId="0" fillId="0" borderId="51" xfId="0" applyFill="1" applyBorder="1" applyAlignment="1">
      <alignment horizontal="center" vertical="center" wrapText="1"/>
    </xf>
    <xf numFmtId="49" fontId="18" fillId="0" borderId="51" xfId="31" applyNumberFormat="1" applyFont="1" applyFill="1" applyBorder="1" applyAlignment="1" applyProtection="1">
      <alignment vertical="center" wrapText="1"/>
      <protection locked="0"/>
    </xf>
    <xf numFmtId="49" fontId="18" fillId="0" borderId="51" xfId="35" applyNumberFormat="1" applyFont="1" applyFill="1" applyBorder="1" applyAlignment="1" applyProtection="1">
      <alignment vertical="center" wrapText="1"/>
      <protection locked="0"/>
    </xf>
    <xf numFmtId="49" fontId="18" fillId="0" borderId="51" xfId="39" applyNumberFormat="1" applyFont="1" applyFill="1" applyBorder="1" applyAlignment="1" applyProtection="1">
      <alignment vertical="center" wrapText="1"/>
      <protection locked="0"/>
    </xf>
    <xf numFmtId="9" fontId="0" fillId="0" borderId="51" xfId="0" applyNumberFormat="1" applyFill="1" applyBorder="1" applyAlignment="1">
      <alignment horizontal="left" vertical="center" wrapText="1"/>
    </xf>
    <xf numFmtId="49" fontId="18" fillId="39" borderId="51" xfId="23" applyNumberFormat="1" applyFont="1" applyFill="1" applyBorder="1" applyAlignment="1" applyProtection="1">
      <alignment vertical="center" wrapText="1"/>
      <protection locked="0"/>
    </xf>
    <xf numFmtId="0" fontId="14" fillId="39" borderId="51" xfId="39" applyFont="1" applyFill="1" applyBorder="1" applyAlignment="1" applyProtection="1">
      <alignment vertical="center" wrapText="1"/>
      <protection locked="0"/>
    </xf>
    <xf numFmtId="0" fontId="14" fillId="39" borderId="51" xfId="0" applyFont="1" applyFill="1" applyBorder="1" applyAlignment="1">
      <alignment vertical="center" wrapText="1"/>
    </xf>
    <xf numFmtId="0" fontId="14" fillId="39" borderId="51" xfId="0" applyFont="1" applyFill="1" applyBorder="1" applyAlignment="1" applyProtection="1">
      <alignment vertical="center" wrapText="1"/>
    </xf>
    <xf numFmtId="49" fontId="18" fillId="39" borderId="51" xfId="0" applyNumberFormat="1" applyFont="1" applyFill="1" applyBorder="1" applyAlignment="1" applyProtection="1">
      <alignment vertical="center" wrapText="1"/>
      <protection locked="0"/>
    </xf>
    <xf numFmtId="49" fontId="18" fillId="0" borderId="51" xfId="23" applyNumberFormat="1" applyFont="1" applyFill="1" applyBorder="1" applyAlignment="1" applyProtection="1">
      <alignment vertical="center" wrapText="1"/>
      <protection locked="0"/>
    </xf>
    <xf numFmtId="49" fontId="18" fillId="0" borderId="51" xfId="27" applyNumberFormat="1" applyFont="1" applyFill="1" applyBorder="1" applyAlignment="1" applyProtection="1">
      <alignment vertical="center" wrapText="1"/>
      <protection locked="0"/>
    </xf>
    <xf numFmtId="49" fontId="14" fillId="0" borderId="51" xfId="0" applyNumberFormat="1" applyFont="1" applyFill="1" applyBorder="1" applyAlignment="1" applyProtection="1">
      <alignment vertical="center" wrapText="1"/>
      <protection locked="0"/>
    </xf>
    <xf numFmtId="0" fontId="18" fillId="0" borderId="51" xfId="0" applyFont="1" applyFill="1" applyBorder="1" applyAlignment="1">
      <alignment horizontal="left" vertical="center" wrapText="1"/>
    </xf>
    <xf numFmtId="0" fontId="18" fillId="39" borderId="51" xfId="0" applyFont="1" applyFill="1" applyBorder="1" applyAlignment="1">
      <alignment horizontal="center" vertical="center" wrapText="1"/>
    </xf>
    <xf numFmtId="0" fontId="18" fillId="0" borderId="51" xfId="0" applyNumberFormat="1" applyFont="1" applyFill="1" applyBorder="1" applyAlignment="1" applyProtection="1">
      <alignment horizontal="center" vertical="center" wrapText="1"/>
    </xf>
    <xf numFmtId="0" fontId="14" fillId="0" borderId="51" xfId="0" applyFont="1" applyFill="1" applyBorder="1" applyAlignment="1" applyProtection="1">
      <alignment vertical="center" wrapText="1"/>
    </xf>
    <xf numFmtId="0" fontId="18" fillId="0" borderId="51" xfId="0" applyFont="1" applyFill="1" applyBorder="1" applyAlignment="1">
      <alignment horizontal="center" vertical="center" wrapText="1"/>
    </xf>
    <xf numFmtId="49" fontId="18" fillId="0" borderId="51" xfId="0" applyNumberFormat="1" applyFont="1" applyFill="1" applyBorder="1" applyAlignment="1" applyProtection="1">
      <alignment horizontal="center" vertical="center" wrapText="1"/>
    </xf>
    <xf numFmtId="49" fontId="18" fillId="0" borderId="51" xfId="0" applyNumberFormat="1" applyFont="1" applyFill="1" applyBorder="1" applyAlignment="1" applyProtection="1">
      <alignment vertical="center" wrapText="1"/>
      <protection locked="0"/>
    </xf>
    <xf numFmtId="0" fontId="18" fillId="0" borderId="51" xfId="18" applyFont="1" applyFill="1" applyBorder="1" applyAlignment="1" applyProtection="1">
      <alignment horizontal="center" vertical="center" wrapText="1"/>
    </xf>
    <xf numFmtId="0" fontId="18" fillId="0" borderId="51" xfId="18" applyFont="1" applyFill="1" applyBorder="1" applyAlignment="1" applyProtection="1">
      <alignment vertical="center" wrapText="1"/>
    </xf>
    <xf numFmtId="0" fontId="18" fillId="0" borderId="51" xfId="19" applyFont="1" applyFill="1" applyBorder="1" applyAlignment="1" applyProtection="1">
      <alignment vertical="center" wrapText="1"/>
    </xf>
    <xf numFmtId="49" fontId="18" fillId="0" borderId="51" xfId="23" applyNumberFormat="1" applyFont="1" applyFill="1" applyBorder="1" applyAlignment="1" applyProtection="1">
      <alignment vertical="center" wrapText="1"/>
    </xf>
    <xf numFmtId="49" fontId="18" fillId="0" borderId="51" xfId="27" applyNumberFormat="1" applyFont="1" applyFill="1" applyBorder="1" applyAlignment="1" applyProtection="1">
      <alignment vertical="center" wrapText="1"/>
    </xf>
    <xf numFmtId="49" fontId="18" fillId="0" borderId="51" xfId="0" applyNumberFormat="1" applyFont="1" applyFill="1" applyBorder="1" applyAlignment="1" applyProtection="1">
      <alignment vertical="center" wrapText="1"/>
    </xf>
    <xf numFmtId="49" fontId="18" fillId="0" borderId="51" xfId="39" applyNumberFormat="1" applyFont="1" applyFill="1" applyBorder="1" applyAlignment="1" applyProtection="1">
      <alignment vertical="center" wrapText="1"/>
    </xf>
    <xf numFmtId="0" fontId="18" fillId="0" borderId="51" xfId="39" applyFont="1" applyFill="1" applyBorder="1" applyAlignment="1" applyProtection="1">
      <alignment vertical="center" wrapText="1"/>
    </xf>
    <xf numFmtId="49" fontId="18" fillId="0" borderId="51" xfId="19" applyNumberFormat="1" applyFont="1" applyFill="1" applyBorder="1" applyAlignment="1" applyProtection="1">
      <alignment vertical="center" wrapText="1"/>
    </xf>
    <xf numFmtId="49" fontId="18" fillId="0" borderId="51" xfId="35" applyNumberFormat="1" applyFont="1" applyFill="1" applyBorder="1" applyAlignment="1" applyProtection="1">
      <alignment vertical="center" wrapText="1"/>
    </xf>
    <xf numFmtId="49" fontId="18" fillId="0" borderId="51" xfId="31" applyNumberFormat="1" applyFont="1" applyFill="1" applyBorder="1" applyAlignment="1" applyProtection="1">
      <alignment vertical="center" wrapText="1"/>
    </xf>
    <xf numFmtId="49" fontId="18" fillId="39" borderId="51" xfId="0" applyNumberFormat="1" applyFont="1" applyFill="1" applyBorder="1" applyAlignment="1" applyProtection="1">
      <alignment vertical="center" wrapText="1"/>
    </xf>
    <xf numFmtId="0" fontId="18" fillId="0" borderId="51" xfId="0" applyNumberFormat="1" applyFont="1" applyFill="1" applyBorder="1" applyAlignment="1" applyProtection="1">
      <alignment vertical="center" wrapText="1"/>
    </xf>
    <xf numFmtId="0" fontId="18" fillId="0" borderId="51" xfId="0" applyFont="1" applyFill="1" applyBorder="1" applyAlignment="1" applyProtection="1">
      <alignment horizontal="center" vertical="center" wrapText="1"/>
    </xf>
    <xf numFmtId="49" fontId="18" fillId="39" borderId="51" xfId="24" applyNumberFormat="1" applyFont="1" applyFill="1" applyBorder="1" applyAlignment="1" applyProtection="1">
      <alignment horizontal="center" vertical="center" wrapText="1"/>
    </xf>
    <xf numFmtId="49" fontId="18" fillId="39" borderId="51" xfId="28" applyNumberFormat="1" applyFont="1" applyFill="1" applyBorder="1" applyAlignment="1" applyProtection="1">
      <alignment horizontal="center" vertical="center" wrapText="1"/>
    </xf>
    <xf numFmtId="0" fontId="19" fillId="39" borderId="51" xfId="40" applyFont="1" applyFill="1" applyBorder="1" applyAlignment="1" applyProtection="1">
      <alignment horizontal="center" vertical="center" wrapText="1"/>
    </xf>
    <xf numFmtId="0" fontId="18" fillId="0" borderId="51" xfId="39" applyFont="1" applyFill="1" applyBorder="1" applyAlignment="1" applyProtection="1">
      <alignment horizontal="center" vertical="center" wrapText="1"/>
    </xf>
    <xf numFmtId="0" fontId="18" fillId="0" borderId="51" xfId="31" applyFont="1" applyFill="1" applyBorder="1" applyAlignment="1" applyProtection="1">
      <alignment vertical="center" wrapText="1"/>
      <protection locked="0"/>
    </xf>
    <xf numFmtId="49" fontId="18" fillId="0" borderId="51" xfId="19" applyNumberFormat="1" applyFont="1" applyFill="1" applyBorder="1" applyAlignment="1" applyProtection="1">
      <alignment vertical="center" wrapText="1"/>
      <protection locked="0"/>
    </xf>
    <xf numFmtId="49" fontId="18" fillId="39" borderId="51" xfId="27" applyNumberFormat="1" applyFont="1" applyFill="1" applyBorder="1" applyAlignment="1" applyProtection="1">
      <alignment vertical="center" wrapText="1"/>
      <protection locked="0"/>
    </xf>
    <xf numFmtId="0" fontId="18" fillId="39" borderId="51" xfId="39" applyFont="1" applyFill="1" applyBorder="1" applyAlignment="1" applyProtection="1">
      <alignment vertical="center" wrapText="1"/>
      <protection locked="0"/>
    </xf>
    <xf numFmtId="0" fontId="18" fillId="39" borderId="51" xfId="0" applyFont="1" applyFill="1" applyBorder="1" applyAlignment="1">
      <alignment vertical="center" wrapText="1"/>
    </xf>
    <xf numFmtId="0" fontId="18" fillId="0" borderId="51" xfId="0" applyFont="1" applyFill="1" applyBorder="1" applyAlignment="1">
      <alignment vertical="center" wrapText="1"/>
    </xf>
    <xf numFmtId="9" fontId="18" fillId="0" borderId="51" xfId="0" applyNumberFormat="1" applyFont="1" applyFill="1" applyBorder="1" applyAlignment="1">
      <alignment horizontal="left" vertical="center" wrapText="1"/>
    </xf>
    <xf numFmtId="0" fontId="17" fillId="40" borderId="51" xfId="34" applyFont="1" applyFill="1" applyBorder="1" applyAlignment="1" applyProtection="1">
      <alignment horizontal="center" vertical="center" wrapText="1"/>
    </xf>
    <xf numFmtId="0" fontId="17" fillId="40" borderId="51" xfId="18" applyFont="1" applyFill="1" applyBorder="1" applyAlignment="1" applyProtection="1">
      <alignment horizontal="center" vertical="center" wrapText="1"/>
    </xf>
    <xf numFmtId="49" fontId="17" fillId="40" borderId="51" xfId="0" applyNumberFormat="1" applyFont="1" applyFill="1" applyBorder="1" applyAlignment="1" applyProtection="1">
      <alignment horizontal="center" vertical="center" wrapText="1"/>
    </xf>
    <xf numFmtId="0" fontId="17" fillId="0" borderId="51" xfId="0" applyFont="1" applyFill="1" applyBorder="1" applyAlignment="1" applyProtection="1">
      <alignment horizontal="center" vertical="center" wrapText="1"/>
    </xf>
    <xf numFmtId="0" fontId="20" fillId="39" borderId="51" xfId="20" applyFont="1" applyFill="1" applyBorder="1" applyAlignment="1" applyProtection="1">
      <alignment horizontal="center" vertical="center" wrapText="1"/>
    </xf>
    <xf numFmtId="0" fontId="22" fillId="0" borderId="51" xfId="0" applyFont="1" applyFill="1" applyBorder="1" applyAlignment="1" applyProtection="1">
      <alignment horizontal="center" vertical="center" wrapText="1"/>
    </xf>
    <xf numFmtId="0" fontId="20" fillId="0" borderId="51" xfId="28" applyFont="1" applyFill="1" applyBorder="1" applyAlignment="1" applyProtection="1">
      <alignment horizontal="center" vertical="center" wrapText="1"/>
    </xf>
    <xf numFmtId="0" fontId="20" fillId="39" borderId="51" xfId="36" applyFont="1" applyFill="1" applyBorder="1" applyAlignment="1" applyProtection="1">
      <alignment horizontal="center" vertical="center" wrapText="1"/>
    </xf>
    <xf numFmtId="0" fontId="19" fillId="0" borderId="51" xfId="38" applyFont="1" applyFill="1" applyBorder="1" applyAlignment="1" applyProtection="1">
      <alignment horizontal="center" vertical="center" wrapText="1"/>
    </xf>
    <xf numFmtId="0" fontId="1" fillId="0" borderId="51" xfId="24" applyFill="1" applyBorder="1" applyAlignment="1" applyProtection="1">
      <alignment horizontal="center" vertical="center" wrapText="1"/>
    </xf>
    <xf numFmtId="0" fontId="1" fillId="0" borderId="51" xfId="28" applyFill="1" applyBorder="1" applyAlignment="1" applyProtection="1">
      <alignment horizontal="center" vertical="center" wrapText="1"/>
    </xf>
    <xf numFmtId="0" fontId="20" fillId="0" borderId="51" xfId="20" applyFont="1" applyFill="1" applyBorder="1" applyAlignment="1" applyProtection="1">
      <alignment horizontal="center" vertical="center" wrapText="1"/>
    </xf>
    <xf numFmtId="0" fontId="19" fillId="0" borderId="51" xfId="34" applyFont="1" applyFill="1" applyBorder="1" applyAlignment="1" applyProtection="1">
      <alignment horizontal="center" vertical="center" wrapText="1"/>
    </xf>
    <xf numFmtId="0" fontId="20" fillId="0" borderId="51" xfId="32" applyFont="1" applyFill="1" applyBorder="1" applyAlignment="1" applyProtection="1">
      <alignment horizontal="center" vertical="center" wrapText="1"/>
    </xf>
    <xf numFmtId="0" fontId="20" fillId="0" borderId="51" xfId="36" applyFont="1" applyFill="1" applyBorder="1" applyAlignment="1" applyProtection="1">
      <alignment horizontal="center" vertical="center" wrapText="1"/>
    </xf>
    <xf numFmtId="0" fontId="20" fillId="0" borderId="51" xfId="40" applyFont="1" applyFill="1" applyBorder="1" applyAlignment="1" applyProtection="1">
      <alignment horizontal="center" vertical="center" wrapText="1"/>
    </xf>
    <xf numFmtId="0" fontId="20" fillId="0" borderId="51" xfId="24" applyFont="1" applyFill="1" applyBorder="1" applyAlignment="1" applyProtection="1">
      <alignment horizontal="center" vertical="center" wrapText="1"/>
    </xf>
    <xf numFmtId="0" fontId="0" fillId="39" borderId="51" xfId="19" applyFont="1" applyFill="1" applyBorder="1" applyAlignment="1" applyProtection="1">
      <alignment vertical="center" wrapText="1"/>
      <protection locked="0"/>
    </xf>
    <xf numFmtId="0" fontId="0" fillId="0" borderId="51" xfId="0" applyFill="1" applyBorder="1" applyAlignment="1" applyProtection="1">
      <alignment vertical="center" wrapText="1"/>
      <protection locked="0"/>
    </xf>
    <xf numFmtId="0" fontId="0" fillId="0" borderId="51" xfId="27" applyFont="1" applyFill="1" applyBorder="1" applyAlignment="1" applyProtection="1">
      <alignment vertical="center" wrapText="1"/>
      <protection locked="0"/>
    </xf>
    <xf numFmtId="0" fontId="0" fillId="39" borderId="51" xfId="35" applyFont="1" applyFill="1" applyBorder="1" applyAlignment="1" applyProtection="1">
      <alignment vertical="center" wrapText="1"/>
      <protection locked="0"/>
    </xf>
    <xf numFmtId="0" fontId="1" fillId="0" borderId="51" xfId="23" applyFill="1" applyBorder="1" applyAlignment="1" applyProtection="1">
      <alignment vertical="center" wrapText="1"/>
      <protection locked="0"/>
    </xf>
    <xf numFmtId="0" fontId="1" fillId="0" borderId="51" xfId="27" applyFill="1" applyBorder="1" applyAlignment="1" applyProtection="1">
      <alignment vertical="center" wrapText="1"/>
      <protection locked="0"/>
    </xf>
    <xf numFmtId="0" fontId="0" fillId="0" borderId="51" xfId="19" applyFont="1" applyFill="1" applyBorder="1" applyAlignment="1" applyProtection="1">
      <alignment vertical="center" wrapText="1"/>
      <protection locked="0"/>
    </xf>
    <xf numFmtId="0" fontId="0" fillId="39" borderId="51" xfId="0" applyFill="1" applyBorder="1" applyAlignment="1" applyProtection="1">
      <alignment vertical="center" wrapText="1"/>
      <protection locked="0"/>
    </xf>
    <xf numFmtId="0" fontId="0" fillId="0" borderId="51" xfId="23" applyFont="1" applyFill="1" applyBorder="1" applyAlignment="1" applyProtection="1">
      <alignment vertical="center" wrapText="1"/>
      <protection locked="0"/>
    </xf>
    <xf numFmtId="0" fontId="0" fillId="0" borderId="51" xfId="27" applyFont="1" applyFill="1" applyBorder="1" applyAlignment="1" applyProtection="1">
      <alignment horizontal="center" vertical="center" wrapText="1"/>
      <protection locked="0"/>
    </xf>
    <xf numFmtId="2" fontId="0" fillId="0" borderId="51" xfId="0" applyNumberFormat="1" applyFill="1" applyBorder="1" applyAlignment="1" applyProtection="1">
      <alignment vertical="center" wrapText="1"/>
    </xf>
    <xf numFmtId="0" fontId="1" fillId="39" borderId="51" xfId="19" applyFill="1" applyBorder="1" applyAlignment="1" applyProtection="1">
      <alignment vertical="center" wrapText="1"/>
      <protection locked="0"/>
    </xf>
    <xf numFmtId="0" fontId="1" fillId="39" borderId="51" xfId="35" applyFill="1" applyBorder="1" applyAlignment="1" applyProtection="1">
      <alignment vertical="center" wrapText="1"/>
      <protection locked="0"/>
    </xf>
    <xf numFmtId="0" fontId="1" fillId="0" borderId="51" xfId="23" applyFill="1" applyBorder="1" applyAlignment="1" applyProtection="1">
      <alignment vertical="center" wrapText="1"/>
    </xf>
    <xf numFmtId="0" fontId="1" fillId="0" borderId="51" xfId="19" applyFill="1" applyBorder="1" applyAlignment="1" applyProtection="1">
      <alignment vertical="center" wrapText="1"/>
      <protection locked="0"/>
    </xf>
    <xf numFmtId="1" fontId="0" fillId="39" borderId="51" xfId="0" applyNumberFormat="1" applyFill="1" applyBorder="1" applyAlignment="1">
      <alignment horizontal="center" vertical="center" wrapText="1"/>
    </xf>
    <xf numFmtId="1" fontId="0" fillId="0" borderId="51" xfId="0" applyNumberFormat="1" applyFill="1" applyBorder="1" applyAlignment="1">
      <alignment horizontal="center" vertical="center" wrapText="1"/>
    </xf>
    <xf numFmtId="166" fontId="0" fillId="39" borderId="51" xfId="0" applyNumberFormat="1" applyFill="1" applyBorder="1" applyAlignment="1">
      <alignment horizontal="center" vertical="center" wrapText="1"/>
    </xf>
    <xf numFmtId="166" fontId="0" fillId="0" borderId="51" xfId="0" applyNumberFormat="1" applyFill="1" applyBorder="1" applyAlignment="1">
      <alignment horizontal="center" vertical="center" wrapText="1"/>
    </xf>
    <xf numFmtId="9" fontId="0" fillId="0" borderId="51" xfId="0" applyNumberFormat="1" applyFill="1" applyBorder="1" applyAlignment="1">
      <alignment horizontal="center" vertical="center" wrapText="1"/>
    </xf>
    <xf numFmtId="49" fontId="0" fillId="0" borderId="51" xfId="0" applyNumberFormat="1" applyFill="1" applyBorder="1" applyAlignment="1" applyProtection="1">
      <alignment horizontal="center" vertical="center" wrapText="1"/>
      <protection locked="0"/>
    </xf>
    <xf numFmtId="10" fontId="0" fillId="0" borderId="51" xfId="0" applyNumberFormat="1" applyFill="1" applyBorder="1" applyAlignment="1">
      <alignment horizontal="center" vertical="center" wrapText="1"/>
    </xf>
    <xf numFmtId="0" fontId="1" fillId="39" borderId="51" xfId="19" applyFill="1" applyBorder="1" applyAlignment="1" applyProtection="1">
      <alignment vertical="center" wrapText="1"/>
    </xf>
    <xf numFmtId="0" fontId="1" fillId="0" borderId="51" xfId="27" applyFill="1" applyBorder="1" applyAlignment="1" applyProtection="1">
      <alignment vertical="center" wrapText="1"/>
    </xf>
    <xf numFmtId="0" fontId="1" fillId="39" borderId="51" xfId="35" applyFill="1" applyBorder="1" applyAlignment="1" applyProtection="1">
      <alignment vertical="center" wrapText="1"/>
    </xf>
    <xf numFmtId="0" fontId="1" fillId="0" borderId="51" xfId="35" applyFill="1" applyBorder="1" applyAlignment="1" applyProtection="1">
      <alignment vertical="center" wrapText="1"/>
    </xf>
    <xf numFmtId="0" fontId="1" fillId="0" borderId="51" xfId="19" applyFill="1" applyBorder="1" applyAlignment="1" applyProtection="1">
      <alignment vertical="center" wrapText="1"/>
    </xf>
    <xf numFmtId="0" fontId="1" fillId="0" borderId="51" xfId="23" applyFill="1" applyBorder="1" applyAlignment="1" applyProtection="1">
      <alignment horizontal="center" vertical="center" wrapText="1"/>
    </xf>
    <xf numFmtId="49" fontId="0" fillId="39" borderId="51" xfId="0" applyNumberFormat="1" applyFill="1" applyBorder="1" applyAlignment="1" applyProtection="1">
      <alignment horizontal="center" vertical="center" wrapText="1"/>
    </xf>
    <xf numFmtId="0" fontId="17" fillId="34" borderId="51" xfId="0" applyNumberFormat="1" applyFont="1" applyFill="1" applyBorder="1" applyAlignment="1" applyProtection="1">
      <alignment horizontal="center" vertical="center" wrapText="1"/>
    </xf>
    <xf numFmtId="49" fontId="20" fillId="19" borderId="51" xfId="28" applyNumberFormat="1" applyFont="1" applyBorder="1" applyAlignment="1" applyProtection="1">
      <alignment horizontal="center" vertical="center" wrapText="1"/>
    </xf>
    <xf numFmtId="49" fontId="19" fillId="36" borderId="51" xfId="0" applyNumberFormat="1" applyFont="1" applyFill="1" applyBorder="1" applyAlignment="1" applyProtection="1">
      <alignment horizontal="center" vertical="center" wrapText="1"/>
    </xf>
    <xf numFmtId="49" fontId="0" fillId="33" borderId="51" xfId="0" applyNumberFormat="1" applyFill="1" applyBorder="1" applyAlignment="1" applyProtection="1">
      <alignment horizontal="center" vertical="center" wrapText="1"/>
      <protection locked="0"/>
    </xf>
    <xf numFmtId="49" fontId="0" fillId="35" borderId="51" xfId="0" applyNumberFormat="1" applyFill="1" applyBorder="1" applyAlignment="1" applyProtection="1">
      <alignment horizontal="center" vertical="center" wrapText="1"/>
    </xf>
    <xf numFmtId="0" fontId="0" fillId="0" borderId="51" xfId="0" applyNumberFormat="1" applyBorder="1" applyAlignment="1" applyProtection="1">
      <alignment horizontal="center" vertical="center" wrapText="1"/>
    </xf>
    <xf numFmtId="0" fontId="17" fillId="21" borderId="51" xfId="30" applyNumberFormat="1" applyBorder="1" applyAlignment="1" applyProtection="1">
      <alignment horizontal="center" vertical="center" wrapText="1"/>
    </xf>
    <xf numFmtId="0" fontId="17" fillId="25" borderId="51" xfId="34" applyNumberFormat="1" applyBorder="1" applyAlignment="1" applyProtection="1">
      <alignment horizontal="center" vertical="center" wrapText="1"/>
    </xf>
    <xf numFmtId="0" fontId="17" fillId="29" borderId="51" xfId="38" applyNumberFormat="1" applyBorder="1" applyAlignment="1" applyProtection="1">
      <alignment horizontal="center" vertical="center" wrapText="1"/>
    </xf>
    <xf numFmtId="0" fontId="17" fillId="35" borderId="51" xfId="0" applyNumberFormat="1" applyFont="1" applyFill="1" applyBorder="1" applyAlignment="1" applyProtection="1">
      <alignment horizontal="center" vertical="center" wrapText="1"/>
    </xf>
    <xf numFmtId="0" fontId="17" fillId="34" borderId="51" xfId="0" quotePrefix="1" applyNumberFormat="1" applyFont="1" applyFill="1" applyBorder="1" applyAlignment="1" applyProtection="1">
      <alignment horizontal="center" vertical="center" wrapText="1"/>
    </xf>
    <xf numFmtId="0" fontId="18" fillId="35" borderId="51" xfId="0" applyNumberFormat="1" applyFont="1" applyFill="1" applyBorder="1" applyAlignment="1" applyProtection="1">
      <alignment horizontal="center" vertical="center" wrapText="1"/>
    </xf>
    <xf numFmtId="0" fontId="0" fillId="0" borderId="51" xfId="0" applyBorder="1" applyAlignment="1" applyProtection="1">
      <alignment horizontal="center" vertical="center" wrapText="1"/>
    </xf>
    <xf numFmtId="0" fontId="19" fillId="0" borderId="51" xfId="0" applyFont="1" applyBorder="1" applyAlignment="1" applyProtection="1">
      <alignment horizontal="center" vertical="center" wrapText="1"/>
    </xf>
    <xf numFmtId="49" fontId="20" fillId="15" borderId="51" xfId="24" applyNumberFormat="1" applyFont="1" applyBorder="1" applyAlignment="1" applyProtection="1">
      <alignment horizontal="center" vertical="center" wrapText="1"/>
    </xf>
    <xf numFmtId="49" fontId="20" fillId="23" borderId="51" xfId="32" applyNumberFormat="1" applyFont="1" applyBorder="1" applyAlignment="1" applyProtection="1">
      <alignment horizontal="center" vertical="center" wrapText="1"/>
    </xf>
    <xf numFmtId="49" fontId="20" fillId="27" borderId="51" xfId="36" applyNumberFormat="1" applyFont="1" applyBorder="1" applyAlignment="1" applyProtection="1">
      <alignment horizontal="center" vertical="center" wrapText="1"/>
    </xf>
    <xf numFmtId="49" fontId="20" fillId="31" borderId="51" xfId="40" applyNumberFormat="1" applyFont="1" applyBorder="1" applyAlignment="1" applyProtection="1">
      <alignment horizontal="center" vertical="center" wrapText="1"/>
    </xf>
    <xf numFmtId="0" fontId="19" fillId="35" borderId="51" xfId="0" applyFont="1" applyFill="1" applyBorder="1" applyAlignment="1" applyProtection="1">
      <alignment horizontal="center" vertical="center" wrapText="1"/>
    </xf>
    <xf numFmtId="2" fontId="19" fillId="35" borderId="51" xfId="0" applyNumberFormat="1" applyFont="1" applyFill="1" applyBorder="1" applyAlignment="1" applyProtection="1">
      <alignment horizontal="center" vertical="center" wrapText="1"/>
    </xf>
    <xf numFmtId="49" fontId="21" fillId="34" borderId="51" xfId="0" applyNumberFormat="1" applyFont="1" applyFill="1" applyBorder="1" applyAlignment="1" applyProtection="1">
      <alignment horizontal="center" vertical="center" wrapText="1"/>
    </xf>
    <xf numFmtId="0" fontId="0" fillId="0" borderId="51" xfId="0" applyBorder="1" applyAlignment="1" applyProtection="1">
      <alignment vertical="center" wrapText="1"/>
    </xf>
    <xf numFmtId="49" fontId="0" fillId="14" borderId="51" xfId="23" applyNumberFormat="1" applyFont="1" applyBorder="1" applyAlignment="1" applyProtection="1">
      <alignment vertical="center" wrapText="1"/>
      <protection locked="0"/>
    </xf>
    <xf numFmtId="49" fontId="0" fillId="18" borderId="51" xfId="27" applyNumberFormat="1" applyFont="1" applyBorder="1" applyAlignment="1" applyProtection="1">
      <alignment vertical="center" wrapText="1"/>
      <protection locked="0"/>
    </xf>
    <xf numFmtId="49" fontId="0" fillId="33" borderId="51" xfId="0" applyNumberFormat="1" applyFill="1" applyBorder="1" applyAlignment="1" applyProtection="1">
      <alignment vertical="center" wrapText="1"/>
      <protection locked="0"/>
    </xf>
    <xf numFmtId="49" fontId="0" fillId="22" borderId="51" xfId="31" applyNumberFormat="1" applyFont="1" applyBorder="1" applyAlignment="1" applyProtection="1">
      <alignment horizontal="center" vertical="center" wrapText="1"/>
      <protection locked="0"/>
    </xf>
    <xf numFmtId="49" fontId="0" fillId="26" borderId="51" xfId="35" applyNumberFormat="1" applyFont="1" applyBorder="1" applyAlignment="1" applyProtection="1">
      <alignment vertical="center" wrapText="1"/>
      <protection locked="0"/>
    </xf>
    <xf numFmtId="0" fontId="0" fillId="35" borderId="51" xfId="0" applyFill="1" applyBorder="1" applyAlignment="1" applyProtection="1">
      <alignment vertical="center" wrapText="1"/>
    </xf>
    <xf numFmtId="167" fontId="0" fillId="33" borderId="51" xfId="47" applyNumberFormat="1" applyFont="1" applyFill="1" applyBorder="1" applyAlignment="1" applyProtection="1">
      <alignment vertical="center" wrapText="1"/>
      <protection locked="0"/>
    </xf>
    <xf numFmtId="2" fontId="18" fillId="35" borderId="51" xfId="0" applyNumberFormat="1" applyFont="1" applyFill="1" applyBorder="1" applyAlignment="1" applyProtection="1">
      <alignment vertical="center" wrapText="1"/>
    </xf>
    <xf numFmtId="1" fontId="0" fillId="0" borderId="51" xfId="0" applyNumberFormat="1" applyBorder="1" applyAlignment="1" applyProtection="1">
      <alignment vertical="center" wrapText="1"/>
    </xf>
    <xf numFmtId="49" fontId="1" fillId="14" borderId="51" xfId="23" applyNumberFormat="1" applyBorder="1" applyAlignment="1" applyProtection="1">
      <alignment vertical="center" wrapText="1"/>
      <protection locked="0"/>
    </xf>
    <xf numFmtId="49" fontId="1" fillId="18" borderId="51" xfId="27" applyNumberFormat="1" applyBorder="1" applyAlignment="1" applyProtection="1">
      <alignment vertical="center" wrapText="1"/>
      <protection locked="0"/>
    </xf>
    <xf numFmtId="49" fontId="1" fillId="35" borderId="51" xfId="23" applyNumberFormat="1" applyFill="1" applyBorder="1" applyAlignment="1" applyProtection="1">
      <alignment vertical="center" wrapText="1"/>
    </xf>
    <xf numFmtId="49" fontId="1" fillId="35" borderId="51" xfId="27" applyNumberFormat="1" applyFill="1" applyBorder="1" applyAlignment="1" applyProtection="1">
      <alignment vertical="center" wrapText="1"/>
    </xf>
    <xf numFmtId="49" fontId="0" fillId="35" borderId="51" xfId="0" applyNumberFormat="1" applyFill="1" applyBorder="1" applyAlignment="1" applyProtection="1">
      <alignment vertical="center" wrapText="1"/>
    </xf>
    <xf numFmtId="49" fontId="1" fillId="35" borderId="51" xfId="31" applyNumberFormat="1" applyFill="1" applyBorder="1" applyAlignment="1" applyProtection="1">
      <alignment horizontal="center" vertical="center" wrapText="1"/>
    </xf>
    <xf numFmtId="49" fontId="1" fillId="35" borderId="51" xfId="35" applyNumberFormat="1" applyFill="1" applyBorder="1" applyAlignment="1" applyProtection="1">
      <alignment vertical="center" wrapText="1"/>
    </xf>
    <xf numFmtId="49" fontId="1" fillId="35" borderId="51" xfId="39" applyNumberFormat="1" applyFill="1" applyBorder="1" applyAlignment="1" applyProtection="1">
      <alignment vertical="center" wrapText="1"/>
    </xf>
    <xf numFmtId="49" fontId="21" fillId="34" borderId="51" xfId="0" applyNumberFormat="1" applyFont="1" applyFill="1" applyBorder="1" applyAlignment="1" applyProtection="1">
      <alignment horizontal="right" vertical="center" wrapText="1"/>
    </xf>
    <xf numFmtId="49" fontId="0" fillId="33" borderId="51" xfId="0" applyNumberFormat="1" applyFill="1" applyBorder="1" applyAlignment="1" applyProtection="1">
      <alignment horizontal="right" vertical="center" wrapText="1"/>
      <protection locked="0"/>
    </xf>
    <xf numFmtId="49" fontId="0" fillId="35" borderId="51" xfId="0" applyNumberFormat="1" applyFill="1" applyBorder="1" applyAlignment="1" applyProtection="1">
      <alignment horizontal="right" vertical="center" wrapText="1"/>
    </xf>
    <xf numFmtId="167" fontId="0" fillId="33" borderId="52" xfId="47" applyNumberFormat="1" applyFont="1" applyFill="1" applyBorder="1" applyAlignment="1" applyProtection="1">
      <alignment vertical="center" wrapText="1"/>
      <protection locked="0"/>
    </xf>
    <xf numFmtId="2" fontId="18" fillId="35" borderId="52" xfId="0" applyNumberFormat="1" applyFont="1" applyFill="1" applyBorder="1" applyAlignment="1" applyProtection="1">
      <alignment vertical="center" wrapText="1"/>
    </xf>
    <xf numFmtId="49" fontId="0" fillId="33" borderId="52" xfId="0" applyNumberFormat="1" applyFill="1" applyBorder="1" applyAlignment="1" applyProtection="1">
      <alignment vertical="center" wrapText="1"/>
      <protection locked="0"/>
    </xf>
    <xf numFmtId="49" fontId="0" fillId="33" borderId="52" xfId="0" applyNumberFormat="1" applyFill="1" applyBorder="1" applyAlignment="1" applyProtection="1">
      <alignment horizontal="right" vertical="center" wrapText="1"/>
      <protection locked="0"/>
    </xf>
    <xf numFmtId="49" fontId="0" fillId="35" borderId="53" xfId="0" applyNumberFormat="1" applyFill="1" applyBorder="1" applyAlignment="1" applyProtection="1">
      <alignment vertical="center" wrapText="1"/>
    </xf>
    <xf numFmtId="2" fontId="18" fillId="35" borderId="53" xfId="0" applyNumberFormat="1" applyFont="1" applyFill="1" applyBorder="1" applyAlignment="1" applyProtection="1">
      <alignment vertical="center" wrapText="1"/>
    </xf>
    <xf numFmtId="49" fontId="0" fillId="35" borderId="53" xfId="0" applyNumberFormat="1" applyFill="1" applyBorder="1" applyAlignment="1" applyProtection="1">
      <alignment horizontal="right" vertical="center" wrapText="1"/>
    </xf>
    <xf numFmtId="167" fontId="0" fillId="0" borderId="54" xfId="0" applyNumberFormat="1" applyBorder="1"/>
    <xf numFmtId="167" fontId="0" fillId="0" borderId="55" xfId="0" applyNumberFormat="1" applyBorder="1"/>
    <xf numFmtId="167" fontId="0" fillId="0" borderId="56" xfId="0" applyNumberFormat="1" applyBorder="1"/>
    <xf numFmtId="0" fontId="17" fillId="34" borderId="31" xfId="0" applyFont="1" applyFill="1" applyBorder="1" applyAlignment="1">
      <alignment horizontal="center" vertical="center" wrapText="1"/>
    </xf>
    <xf numFmtId="0" fontId="17" fillId="34" borderId="27"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27"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15" borderId="21" xfId="24" applyFont="1" applyBorder="1" applyAlignment="1">
      <alignment horizontal="center" vertical="center" wrapText="1"/>
    </xf>
    <xf numFmtId="0" fontId="0" fillId="36" borderId="46" xfId="0" applyFill="1" applyBorder="1" applyAlignment="1">
      <alignment horizontal="center" vertical="center" wrapText="1"/>
    </xf>
    <xf numFmtId="0" fontId="1" fillId="19" borderId="21" xfId="28" applyBorder="1" applyAlignment="1">
      <alignment horizontal="center" vertical="center" wrapText="1"/>
    </xf>
    <xf numFmtId="0" fontId="0" fillId="36" borderId="28" xfId="0" applyFill="1" applyBorder="1" applyAlignment="1">
      <alignment horizontal="center" vertical="center" wrapText="1"/>
    </xf>
    <xf numFmtId="0" fontId="0" fillId="0" borderId="46" xfId="0" applyBorder="1" applyAlignment="1">
      <alignment horizontal="center" vertical="center" wrapText="1"/>
    </xf>
    <xf numFmtId="0" fontId="1" fillId="11" borderId="20" xfId="20" applyBorder="1" applyAlignment="1">
      <alignment horizontal="center" vertical="center" wrapText="1"/>
    </xf>
    <xf numFmtId="0" fontId="1" fillId="11" borderId="15" xfId="20" applyBorder="1" applyAlignment="1">
      <alignment horizontal="center" vertical="center" wrapText="1"/>
    </xf>
    <xf numFmtId="0" fontId="1" fillId="11" borderId="21" xfId="20" applyBorder="1" applyAlignment="1">
      <alignment horizontal="center" vertical="center" wrapText="1"/>
    </xf>
    <xf numFmtId="0" fontId="1" fillId="15" borderId="22" xfId="24" applyBorder="1" applyAlignment="1">
      <alignment horizontal="center" vertical="center" wrapText="1"/>
    </xf>
    <xf numFmtId="0" fontId="1" fillId="15" borderId="15" xfId="24" applyBorder="1" applyAlignment="1">
      <alignment horizontal="center" vertical="center" wrapText="1"/>
    </xf>
    <xf numFmtId="0" fontId="1" fillId="15" borderId="43" xfId="24" applyBorder="1" applyAlignment="1">
      <alignment horizontal="center" vertical="center" wrapText="1"/>
    </xf>
    <xf numFmtId="0" fontId="1" fillId="19" borderId="20" xfId="28" applyBorder="1" applyAlignment="1">
      <alignment horizontal="center" vertical="center" wrapText="1"/>
    </xf>
    <xf numFmtId="0" fontId="1" fillId="19" borderId="15" xfId="28" applyBorder="1" applyAlignment="1">
      <alignment horizontal="center" vertical="center" wrapText="1"/>
    </xf>
    <xf numFmtId="0" fontId="1" fillId="23" borderId="22" xfId="32" applyBorder="1" applyAlignment="1">
      <alignment horizontal="center" vertical="center" wrapText="1"/>
    </xf>
    <xf numFmtId="0" fontId="1" fillId="23" borderId="15" xfId="32" applyBorder="1" applyAlignment="1">
      <alignment horizontal="center" vertical="center" wrapText="1"/>
    </xf>
    <xf numFmtId="0" fontId="1" fillId="23" borderId="43" xfId="32" applyBorder="1" applyAlignment="1">
      <alignment horizontal="center" vertical="center" wrapText="1"/>
    </xf>
    <xf numFmtId="0" fontId="1" fillId="27" borderId="20" xfId="36" applyBorder="1" applyAlignment="1">
      <alignment horizontal="center" vertical="center" wrapText="1"/>
    </xf>
    <xf numFmtId="0" fontId="1" fillId="27" borderId="15" xfId="36" applyBorder="1" applyAlignment="1">
      <alignment horizontal="center" vertical="center" wrapText="1"/>
    </xf>
    <xf numFmtId="0" fontId="1" fillId="27" borderId="21" xfId="36" applyBorder="1" applyAlignment="1">
      <alignment horizontal="center" vertical="center" wrapText="1"/>
    </xf>
    <xf numFmtId="0" fontId="1" fillId="31" borderId="22" xfId="40" applyBorder="1" applyAlignment="1">
      <alignment horizontal="center" vertical="center" wrapText="1"/>
    </xf>
    <xf numFmtId="0" fontId="1" fillId="31" borderId="15" xfId="40" applyBorder="1" applyAlignment="1">
      <alignment horizontal="center" vertical="center" wrapText="1"/>
    </xf>
    <xf numFmtId="0" fontId="1" fillId="31" borderId="43" xfId="40" applyBorder="1" applyAlignment="1">
      <alignment horizontal="center" vertical="center" wrapText="1"/>
    </xf>
    <xf numFmtId="0" fontId="0" fillId="0" borderId="28" xfId="0" applyBorder="1" applyAlignment="1">
      <alignment horizontal="center" vertical="center" wrapText="1"/>
    </xf>
    <xf numFmtId="0" fontId="16" fillId="0" borderId="20"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21" xfId="0" applyFont="1" applyBorder="1" applyAlignment="1">
      <alignment horizontal="center" vertical="center" wrapText="1"/>
    </xf>
    <xf numFmtId="0" fontId="0" fillId="0" borderId="10" xfId="0" applyBorder="1" applyAlignment="1">
      <alignment horizontal="center" vertical="center" wrapText="1"/>
    </xf>
    <xf numFmtId="0" fontId="0" fillId="0" borderId="45" xfId="0" applyBorder="1" applyAlignment="1">
      <alignment vertical="center" wrapText="1"/>
    </xf>
    <xf numFmtId="0" fontId="0" fillId="0" borderId="16" xfId="0" applyBorder="1" applyAlignment="1">
      <alignment vertical="center" wrapText="1"/>
    </xf>
    <xf numFmtId="0" fontId="1" fillId="14" borderId="33" xfId="23" applyBorder="1" applyAlignment="1" applyProtection="1">
      <alignment vertical="center" wrapText="1"/>
      <protection locked="0"/>
    </xf>
    <xf numFmtId="0" fontId="0" fillId="33" borderId="47" xfId="0" applyFill="1" applyBorder="1" applyAlignment="1" applyProtection="1">
      <alignment vertical="center" wrapText="1"/>
      <protection locked="0"/>
    </xf>
    <xf numFmtId="0" fontId="1" fillId="18" borderId="33" xfId="27" applyBorder="1" applyAlignment="1" applyProtection="1">
      <alignment vertical="center" wrapText="1"/>
      <protection locked="0"/>
    </xf>
    <xf numFmtId="0" fontId="0" fillId="33" borderId="42" xfId="0" applyFill="1" applyBorder="1" applyAlignment="1" applyProtection="1">
      <alignment vertical="center" wrapText="1"/>
      <protection locked="0"/>
    </xf>
    <xf numFmtId="0" fontId="0" fillId="0" borderId="47" xfId="0" applyBorder="1" applyAlignment="1">
      <alignment vertical="center" wrapText="1"/>
    </xf>
    <xf numFmtId="0" fontId="1" fillId="10" borderId="45" xfId="19" applyBorder="1" applyAlignment="1" applyProtection="1">
      <alignment vertical="center" wrapText="1"/>
      <protection locked="0"/>
    </xf>
    <xf numFmtId="0" fontId="1" fillId="10" borderId="16" xfId="19" applyBorder="1" applyAlignment="1" applyProtection="1">
      <alignment vertical="center" wrapText="1"/>
      <protection locked="0"/>
    </xf>
    <xf numFmtId="0" fontId="1" fillId="10" borderId="33" xfId="19" applyBorder="1" applyAlignment="1" applyProtection="1">
      <alignment vertical="center" wrapText="1"/>
      <protection locked="0"/>
    </xf>
    <xf numFmtId="0" fontId="1" fillId="14" borderId="32" xfId="23" applyBorder="1" applyAlignment="1" applyProtection="1">
      <alignment vertical="center" wrapText="1"/>
      <protection locked="0"/>
    </xf>
    <xf numFmtId="0" fontId="1" fillId="14" borderId="16" xfId="23" applyBorder="1" applyAlignment="1" applyProtection="1">
      <alignment vertical="center" wrapText="1"/>
      <protection locked="0"/>
    </xf>
    <xf numFmtId="0" fontId="1" fillId="14" borderId="41" xfId="23" applyBorder="1" applyAlignment="1" applyProtection="1">
      <alignment vertical="center" wrapText="1"/>
      <protection locked="0"/>
    </xf>
    <xf numFmtId="0" fontId="1" fillId="18" borderId="45" xfId="27" applyBorder="1" applyAlignment="1" applyProtection="1">
      <alignment vertical="center" wrapText="1"/>
      <protection locked="0"/>
    </xf>
    <xf numFmtId="0" fontId="1" fillId="18" borderId="16" xfId="27" applyBorder="1" applyAlignment="1" applyProtection="1">
      <alignment vertical="center" wrapText="1"/>
      <protection locked="0"/>
    </xf>
    <xf numFmtId="0" fontId="1" fillId="22" borderId="32" xfId="31" applyBorder="1" applyAlignment="1" applyProtection="1">
      <alignment vertical="center" wrapText="1"/>
      <protection locked="0"/>
    </xf>
    <xf numFmtId="0" fontId="1" fillId="22" borderId="16" xfId="31" applyBorder="1" applyAlignment="1" applyProtection="1">
      <alignment vertical="center" wrapText="1"/>
      <protection locked="0"/>
    </xf>
    <xf numFmtId="0" fontId="1" fillId="22" borderId="41" xfId="31" applyBorder="1" applyAlignment="1" applyProtection="1">
      <alignment vertical="center" wrapText="1"/>
      <protection locked="0"/>
    </xf>
    <xf numFmtId="0" fontId="1" fillId="26" borderId="45" xfId="35" applyBorder="1" applyAlignment="1" applyProtection="1">
      <alignment vertical="center" wrapText="1"/>
      <protection locked="0"/>
    </xf>
    <xf numFmtId="0" fontId="1" fillId="26" borderId="16" xfId="35" applyBorder="1" applyAlignment="1" applyProtection="1">
      <alignment vertical="center" wrapText="1"/>
      <protection locked="0"/>
    </xf>
    <xf numFmtId="0" fontId="1" fillId="26" borderId="33" xfId="35" applyBorder="1" applyAlignment="1" applyProtection="1">
      <alignment vertical="center" wrapText="1"/>
      <protection locked="0"/>
    </xf>
    <xf numFmtId="0" fontId="1" fillId="30" borderId="32" xfId="39" applyBorder="1" applyAlignment="1" applyProtection="1">
      <alignment vertical="center" wrapText="1"/>
      <protection locked="0"/>
    </xf>
    <xf numFmtId="0" fontId="1" fillId="30" borderId="16" xfId="39" applyBorder="1" applyAlignment="1" applyProtection="1">
      <alignment vertical="center" wrapText="1"/>
      <protection locked="0"/>
    </xf>
    <xf numFmtId="0" fontId="1" fillId="30" borderId="41" xfId="39" applyBorder="1" applyAlignment="1" applyProtection="1">
      <alignment vertical="center" wrapText="1"/>
      <protection locked="0"/>
    </xf>
    <xf numFmtId="0" fontId="0" fillId="0" borderId="42" xfId="0" applyBorder="1" applyAlignment="1">
      <alignment vertical="center" wrapText="1"/>
    </xf>
    <xf numFmtId="44" fontId="16" fillId="0" borderId="45" xfId="0" applyNumberFormat="1" applyFont="1" applyBorder="1" applyAlignment="1">
      <alignment vertical="center" wrapText="1"/>
    </xf>
    <xf numFmtId="44" fontId="16" fillId="0" borderId="16" xfId="0" applyNumberFormat="1" applyFont="1" applyBorder="1" applyAlignment="1">
      <alignment vertical="center" wrapText="1"/>
    </xf>
    <xf numFmtId="44" fontId="16" fillId="0" borderId="33" xfId="0" applyNumberFormat="1" applyFont="1" applyBorder="1" applyAlignment="1">
      <alignment vertical="center" wrapText="1"/>
    </xf>
    <xf numFmtId="0" fontId="0" fillId="0" borderId="0" xfId="0" applyAlignment="1">
      <alignment vertical="center" wrapText="1"/>
    </xf>
    <xf numFmtId="0" fontId="0" fillId="0" borderId="34" xfId="0" applyBorder="1" applyAlignment="1">
      <alignment vertical="center" wrapText="1"/>
    </xf>
    <xf numFmtId="0" fontId="0" fillId="0" borderId="14" xfId="0" applyBorder="1" applyAlignment="1">
      <alignment vertical="center" wrapText="1"/>
    </xf>
    <xf numFmtId="0" fontId="0" fillId="33" borderId="48" xfId="0" applyFill="1" applyBorder="1" applyAlignment="1" applyProtection="1">
      <alignment vertical="center" wrapText="1"/>
      <protection locked="0"/>
    </xf>
    <xf numFmtId="0" fontId="1" fillId="18" borderId="25" xfId="27" applyBorder="1" applyAlignment="1" applyProtection="1">
      <alignment vertical="center" wrapText="1"/>
      <protection locked="0"/>
    </xf>
    <xf numFmtId="0" fontId="0" fillId="33" borderId="29" xfId="0" applyFill="1" applyBorder="1" applyAlignment="1" applyProtection="1">
      <alignment vertical="center" wrapText="1"/>
      <protection locked="0"/>
    </xf>
    <xf numFmtId="0" fontId="0" fillId="0" borderId="48" xfId="0" applyBorder="1" applyAlignment="1">
      <alignment vertical="center" wrapText="1"/>
    </xf>
    <xf numFmtId="0" fontId="1" fillId="10" borderId="34" xfId="19" applyBorder="1" applyAlignment="1" applyProtection="1">
      <alignment vertical="center" wrapText="1"/>
      <protection locked="0"/>
    </xf>
    <xf numFmtId="0" fontId="1" fillId="10" borderId="14" xfId="19" applyBorder="1" applyAlignment="1" applyProtection="1">
      <alignment vertical="center" wrapText="1"/>
      <protection locked="0"/>
    </xf>
    <xf numFmtId="0" fontId="1" fillId="10" borderId="25" xfId="19" applyBorder="1" applyAlignment="1" applyProtection="1">
      <alignment vertical="center" wrapText="1"/>
      <protection locked="0"/>
    </xf>
    <xf numFmtId="0" fontId="1" fillId="14" borderId="24" xfId="23" applyBorder="1" applyAlignment="1" applyProtection="1">
      <alignment vertical="center" wrapText="1"/>
      <protection locked="0"/>
    </xf>
    <xf numFmtId="0" fontId="1" fillId="14" borderId="14" xfId="23" applyBorder="1" applyAlignment="1" applyProtection="1">
      <alignment vertical="center" wrapText="1"/>
      <protection locked="0"/>
    </xf>
    <xf numFmtId="0" fontId="1" fillId="14" borderId="39" xfId="23" applyBorder="1" applyAlignment="1" applyProtection="1">
      <alignment vertical="center" wrapText="1"/>
      <protection locked="0"/>
    </xf>
    <xf numFmtId="0" fontId="1" fillId="18" borderId="34" xfId="27" applyBorder="1" applyAlignment="1" applyProtection="1">
      <alignment vertical="center" wrapText="1"/>
      <protection locked="0"/>
    </xf>
    <xf numFmtId="0" fontId="1" fillId="18" borderId="14" xfId="27" applyBorder="1" applyAlignment="1" applyProtection="1">
      <alignment vertical="center" wrapText="1"/>
      <protection locked="0"/>
    </xf>
    <xf numFmtId="0" fontId="1" fillId="22" borderId="24" xfId="31" applyBorder="1" applyAlignment="1" applyProtection="1">
      <alignment vertical="center" wrapText="1"/>
      <protection locked="0"/>
    </xf>
    <xf numFmtId="0" fontId="1" fillId="22" borderId="14" xfId="31" applyBorder="1" applyAlignment="1" applyProtection="1">
      <alignment vertical="center" wrapText="1"/>
      <protection locked="0"/>
    </xf>
    <xf numFmtId="0" fontId="1" fillId="22" borderId="39" xfId="31" applyBorder="1" applyAlignment="1" applyProtection="1">
      <alignment vertical="center" wrapText="1"/>
      <protection locked="0"/>
    </xf>
    <xf numFmtId="0" fontId="1" fillId="26" borderId="34" xfId="35" applyBorder="1" applyAlignment="1" applyProtection="1">
      <alignment vertical="center" wrapText="1"/>
      <protection locked="0"/>
    </xf>
    <xf numFmtId="0" fontId="1" fillId="26" borderId="14" xfId="35" applyBorder="1" applyAlignment="1" applyProtection="1">
      <alignment vertical="center" wrapText="1"/>
      <protection locked="0"/>
    </xf>
    <xf numFmtId="0" fontId="1" fillId="26" borderId="25" xfId="35" applyBorder="1" applyAlignment="1" applyProtection="1">
      <alignment vertical="center" wrapText="1"/>
      <protection locked="0"/>
    </xf>
    <xf numFmtId="0" fontId="1" fillId="30" borderId="24" xfId="39" applyBorder="1" applyAlignment="1" applyProtection="1">
      <alignment vertical="center" wrapText="1"/>
      <protection locked="0"/>
    </xf>
    <xf numFmtId="0" fontId="1" fillId="30" borderId="14" xfId="39" applyBorder="1" applyAlignment="1" applyProtection="1">
      <alignment vertical="center" wrapText="1"/>
      <protection locked="0"/>
    </xf>
    <xf numFmtId="0" fontId="1" fillId="30" borderId="39" xfId="39" applyBorder="1" applyAlignment="1" applyProtection="1">
      <alignment vertical="center" wrapText="1"/>
      <protection locked="0"/>
    </xf>
    <xf numFmtId="0" fontId="0" fillId="0" borderId="29" xfId="0" applyBorder="1" applyAlignment="1">
      <alignment vertical="center" wrapText="1"/>
    </xf>
    <xf numFmtId="44" fontId="16" fillId="0" borderId="34" xfId="0" applyNumberFormat="1" applyFont="1" applyBorder="1" applyAlignment="1">
      <alignment vertical="center" wrapText="1"/>
    </xf>
    <xf numFmtId="44" fontId="16" fillId="0" borderId="14" xfId="0" applyNumberFormat="1" applyFont="1" applyBorder="1" applyAlignment="1">
      <alignment vertical="center" wrapText="1"/>
    </xf>
    <xf numFmtId="44" fontId="16" fillId="0" borderId="25" xfId="0" applyNumberFormat="1" applyFont="1" applyBorder="1" applyAlignment="1">
      <alignment vertical="center" wrapText="1"/>
    </xf>
    <xf numFmtId="0" fontId="1" fillId="14" borderId="25" xfId="23" applyBorder="1" applyAlignment="1" applyProtection="1">
      <alignment vertical="center" wrapText="1"/>
      <protection locked="0"/>
    </xf>
    <xf numFmtId="0" fontId="16" fillId="0" borderId="36" xfId="0" applyFont="1" applyBorder="1" applyAlignment="1">
      <alignment vertical="center" wrapText="1"/>
    </xf>
    <xf numFmtId="0" fontId="16" fillId="0" borderId="37" xfId="0" applyFont="1" applyBorder="1" applyAlignment="1">
      <alignment vertical="center" wrapText="1"/>
    </xf>
    <xf numFmtId="0" fontId="16" fillId="0" borderId="38" xfId="0" applyFont="1" applyBorder="1" applyAlignment="1">
      <alignment vertical="center" wrapText="1"/>
    </xf>
    <xf numFmtId="0" fontId="16" fillId="0" borderId="49" xfId="0" applyFont="1" applyBorder="1" applyAlignment="1">
      <alignment vertical="center" wrapText="1"/>
    </xf>
    <xf numFmtId="0" fontId="16" fillId="0" borderId="35" xfId="0" applyFont="1" applyBorder="1" applyAlignment="1">
      <alignment vertical="center" wrapText="1"/>
    </xf>
    <xf numFmtId="0" fontId="16" fillId="0" borderId="44" xfId="0" applyFont="1" applyBorder="1" applyAlignment="1">
      <alignment vertical="center" wrapText="1"/>
    </xf>
    <xf numFmtId="0" fontId="16" fillId="0" borderId="40" xfId="0" applyFont="1" applyBorder="1" applyAlignment="1">
      <alignment vertical="center" wrapText="1"/>
    </xf>
    <xf numFmtId="0" fontId="16" fillId="0" borderId="0" xfId="0" applyFont="1" applyAlignment="1">
      <alignment vertical="center" wrapText="1"/>
    </xf>
    <xf numFmtId="0" fontId="0" fillId="0" borderId="27" xfId="0" applyBorder="1" applyAlignment="1">
      <alignment horizontal="center" vertical="center"/>
    </xf>
    <xf numFmtId="0" fontId="17" fillId="34" borderId="23" xfId="0" applyFont="1" applyFill="1" applyBorder="1" applyAlignment="1">
      <alignment horizontal="center" vertical="center"/>
    </xf>
    <xf numFmtId="0" fontId="17" fillId="34" borderId="19" xfId="0" applyFont="1" applyFill="1" applyBorder="1" applyAlignment="1">
      <alignment horizontal="center" vertical="center"/>
    </xf>
    <xf numFmtId="0" fontId="0" fillId="0" borderId="30" xfId="0" applyBorder="1" applyAlignment="1">
      <alignment vertical="center"/>
    </xf>
    <xf numFmtId="0" fontId="16" fillId="0" borderId="27" xfId="0" applyFont="1" applyBorder="1" applyAlignment="1">
      <alignment horizontal="center" vertical="center"/>
    </xf>
    <xf numFmtId="0" fontId="0" fillId="0" borderId="0" xfId="0" applyAlignment="1">
      <alignment vertical="center"/>
    </xf>
    <xf numFmtId="0" fontId="0" fillId="0" borderId="28" xfId="0" applyBorder="1" applyAlignment="1">
      <alignment horizontal="center" vertical="center"/>
    </xf>
    <xf numFmtId="0" fontId="20" fillId="36" borderId="22" xfId="0" applyFont="1" applyFill="1" applyBorder="1" applyAlignment="1">
      <alignment horizontal="center" vertical="center"/>
    </xf>
    <xf numFmtId="0" fontId="20" fillId="36" borderId="15" xfId="0" applyFont="1" applyFill="1" applyBorder="1" applyAlignment="1">
      <alignment horizontal="center" vertical="center"/>
    </xf>
    <xf numFmtId="0" fontId="20" fillId="0" borderId="43" xfId="0" applyFont="1" applyBorder="1" applyAlignment="1">
      <alignment vertical="center"/>
    </xf>
    <xf numFmtId="0" fontId="23" fillId="0" borderId="28" xfId="0" applyFont="1" applyBorder="1" applyAlignment="1">
      <alignment vertical="center"/>
    </xf>
    <xf numFmtId="0" fontId="20" fillId="0" borderId="0" xfId="0" applyFont="1" applyAlignment="1">
      <alignment vertical="center"/>
    </xf>
    <xf numFmtId="0" fontId="0" fillId="0" borderId="42" xfId="0" applyBorder="1" applyAlignment="1">
      <alignment vertical="center"/>
    </xf>
    <xf numFmtId="0" fontId="0" fillId="33" borderId="32" xfId="0" applyFill="1" applyBorder="1" applyAlignment="1" applyProtection="1">
      <alignment vertical="center"/>
      <protection locked="0"/>
    </xf>
    <xf numFmtId="0" fontId="0" fillId="33" borderId="16" xfId="0" applyFill="1" applyBorder="1" applyAlignment="1" applyProtection="1">
      <alignment vertical="center"/>
      <protection locked="0"/>
    </xf>
    <xf numFmtId="0" fontId="0" fillId="0" borderId="41" xfId="0" applyBorder="1" applyAlignment="1">
      <alignment vertical="center"/>
    </xf>
    <xf numFmtId="0" fontId="16" fillId="0" borderId="42" xfId="0" applyFont="1" applyBorder="1" applyAlignment="1">
      <alignment vertical="center"/>
    </xf>
    <xf numFmtId="0" fontId="0" fillId="0" borderId="29" xfId="0" applyBorder="1" applyAlignment="1">
      <alignment vertical="center"/>
    </xf>
    <xf numFmtId="0" fontId="0" fillId="33" borderId="24" xfId="0" applyFill="1" applyBorder="1" applyAlignment="1" applyProtection="1">
      <alignment vertical="center"/>
      <protection locked="0"/>
    </xf>
    <xf numFmtId="0" fontId="0" fillId="33" borderId="14" xfId="0" applyFill="1" applyBorder="1" applyAlignment="1" applyProtection="1">
      <alignment vertical="center"/>
      <protection locked="0"/>
    </xf>
    <xf numFmtId="0" fontId="0" fillId="0" borderId="39" xfId="0" applyBorder="1" applyAlignment="1">
      <alignment vertical="center"/>
    </xf>
    <xf numFmtId="0" fontId="16" fillId="0" borderId="29" xfId="0" applyFont="1" applyBorder="1" applyAlignment="1">
      <alignment vertical="center"/>
    </xf>
    <xf numFmtId="164" fontId="16" fillId="0" borderId="35" xfId="0" applyNumberFormat="1" applyFont="1" applyBorder="1" applyAlignment="1">
      <alignment vertical="center"/>
    </xf>
    <xf numFmtId="164" fontId="16" fillId="0" borderId="44" xfId="0" applyNumberFormat="1" applyFont="1" applyBorder="1" applyAlignment="1">
      <alignment vertical="center"/>
    </xf>
    <xf numFmtId="164" fontId="16" fillId="0" borderId="37" xfId="0" applyNumberFormat="1" applyFont="1" applyBorder="1" applyAlignment="1">
      <alignment vertical="center"/>
    </xf>
    <xf numFmtId="164" fontId="16" fillId="0" borderId="40" xfId="0" applyNumberFormat="1" applyFont="1" applyBorder="1" applyAlignment="1">
      <alignment vertical="center"/>
    </xf>
    <xf numFmtId="164" fontId="16" fillId="0" borderId="0" xfId="0" applyNumberFormat="1" applyFont="1" applyAlignment="1">
      <alignment vertical="center"/>
    </xf>
    <xf numFmtId="0" fontId="16" fillId="0" borderId="0" xfId="0" applyFont="1" applyAlignment="1">
      <alignment vertical="center"/>
    </xf>
    <xf numFmtId="0" fontId="13" fillId="9" borderId="0" xfId="18" applyFont="1" applyAlignment="1">
      <alignment horizontal="center"/>
    </xf>
    <xf numFmtId="0" fontId="13" fillId="13" borderId="0" xfId="22" applyFont="1" applyAlignment="1">
      <alignment horizontal="center"/>
    </xf>
    <xf numFmtId="0" fontId="17" fillId="21" borderId="0" xfId="30" applyAlignment="1">
      <alignment horizontal="center"/>
    </xf>
    <xf numFmtId="0" fontId="26" fillId="37" borderId="0" xfId="0" applyFont="1" applyFill="1" applyAlignment="1">
      <alignment horizontal="center" vertical="center" wrapText="1"/>
    </xf>
    <xf numFmtId="0" fontId="17" fillId="9" borderId="0" xfId="18" applyAlignment="1" applyProtection="1">
      <alignment horizontal="center"/>
    </xf>
    <xf numFmtId="0" fontId="13" fillId="40" borderId="51" xfId="38" applyFont="1" applyFill="1" applyBorder="1" applyAlignment="1" applyProtection="1">
      <alignment horizontal="center" vertical="center" wrapText="1"/>
    </xf>
    <xf numFmtId="0" fontId="17" fillId="40" borderId="51" xfId="38" applyFont="1" applyFill="1" applyBorder="1" applyAlignment="1" applyProtection="1">
      <alignment horizontal="center" vertical="center" wrapText="1"/>
    </xf>
    <xf numFmtId="0" fontId="17" fillId="40" borderId="51" xfId="26" applyNumberFormat="1" applyFont="1" applyFill="1" applyBorder="1" applyAlignment="1" applyProtection="1">
      <alignment horizontal="center" vertical="center" wrapText="1"/>
    </xf>
    <xf numFmtId="0" fontId="17" fillId="40" borderId="51" xfId="18" applyFont="1" applyFill="1" applyBorder="1" applyAlignment="1" applyProtection="1">
      <alignment horizontal="center" vertical="center" wrapText="1"/>
    </xf>
    <xf numFmtId="0" fontId="17" fillId="40" borderId="51" xfId="26" applyFont="1" applyFill="1" applyBorder="1" applyAlignment="1" applyProtection="1">
      <alignment horizontal="center" vertical="center" wrapText="1"/>
    </xf>
    <xf numFmtId="0" fontId="17" fillId="40" borderId="51" xfId="34" applyFont="1" applyFill="1" applyBorder="1" applyAlignment="1" applyProtection="1">
      <alignment horizontal="center" vertical="center" wrapText="1"/>
    </xf>
    <xf numFmtId="0" fontId="17" fillId="40" borderId="51" xfId="30" applyFont="1" applyFill="1" applyBorder="1" applyAlignment="1" applyProtection="1">
      <alignment horizontal="center" vertical="center" wrapText="1"/>
    </xf>
    <xf numFmtId="0" fontId="17" fillId="40" borderId="51" xfId="22" applyNumberFormat="1" applyFont="1" applyFill="1" applyBorder="1" applyAlignment="1" applyProtection="1">
      <alignment horizontal="center" vertical="center" wrapText="1"/>
    </xf>
    <xf numFmtId="0" fontId="17" fillId="40" borderId="51" xfId="22" applyFont="1" applyFill="1" applyBorder="1" applyAlignment="1" applyProtection="1">
      <alignment horizontal="center" vertical="center" wrapText="1"/>
    </xf>
    <xf numFmtId="0" fontId="17" fillId="34" borderId="51" xfId="0" applyNumberFormat="1" applyFont="1" applyFill="1" applyBorder="1" applyAlignment="1" applyProtection="1">
      <alignment horizontal="center" vertical="center" wrapText="1"/>
    </xf>
    <xf numFmtId="0" fontId="17" fillId="13" borderId="51" xfId="22" applyNumberFormat="1" applyBorder="1" applyAlignment="1" applyProtection="1">
      <alignment horizontal="center" vertical="center" wrapText="1"/>
    </xf>
    <xf numFmtId="0" fontId="17" fillId="17" borderId="51" xfId="26" applyNumberFormat="1" applyFont="1" applyBorder="1" applyAlignment="1" applyProtection="1">
      <alignment horizontal="center" vertical="center" wrapText="1"/>
    </xf>
    <xf numFmtId="0" fontId="17" fillId="13" borderId="50" xfId="22" applyBorder="1" applyAlignment="1">
      <alignment horizontal="center" vertical="center" wrapText="1"/>
    </xf>
    <xf numFmtId="0" fontId="17" fillId="13" borderId="31" xfId="22" applyBorder="1" applyAlignment="1">
      <alignment horizontal="center" vertical="center" wrapText="1"/>
    </xf>
    <xf numFmtId="0" fontId="17" fillId="13" borderId="26" xfId="22" applyBorder="1" applyAlignment="1">
      <alignment horizontal="center" vertical="center" wrapText="1"/>
    </xf>
    <xf numFmtId="0" fontId="17" fillId="17" borderId="50" xfId="26" applyBorder="1" applyAlignment="1">
      <alignment horizontal="center" vertical="center" wrapText="1"/>
    </xf>
    <xf numFmtId="0" fontId="17" fillId="17" borderId="26" xfId="26" applyBorder="1" applyAlignment="1">
      <alignment horizontal="center" vertical="center" wrapText="1"/>
    </xf>
    <xf numFmtId="0" fontId="16" fillId="0" borderId="5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6" xfId="0" applyFont="1" applyBorder="1" applyAlignment="1">
      <alignment horizontal="center" vertical="center" wrapText="1"/>
    </xf>
    <xf numFmtId="165" fontId="17" fillId="9" borderId="50" xfId="18" applyNumberFormat="1" applyBorder="1" applyAlignment="1">
      <alignment horizontal="center" vertical="center" wrapText="1"/>
    </xf>
    <xf numFmtId="165" fontId="17" fillId="9" borderId="31" xfId="18" applyNumberFormat="1" applyBorder="1" applyAlignment="1">
      <alignment horizontal="center" vertical="center" wrapText="1"/>
    </xf>
    <xf numFmtId="165" fontId="17" fillId="9" borderId="26" xfId="18" applyNumberFormat="1" applyBorder="1" applyAlignment="1">
      <alignment horizontal="center" vertical="center" wrapText="1"/>
    </xf>
    <xf numFmtId="165" fontId="17" fillId="13" borderId="50" xfId="22" applyNumberFormat="1" applyBorder="1" applyAlignment="1">
      <alignment horizontal="center" vertical="center" wrapText="1"/>
    </xf>
    <xf numFmtId="165" fontId="17" fillId="13" borderId="31" xfId="22" applyNumberFormat="1" applyBorder="1" applyAlignment="1">
      <alignment horizontal="center" vertical="center" wrapText="1"/>
    </xf>
    <xf numFmtId="165" fontId="17" fillId="13" borderId="26" xfId="22" applyNumberFormat="1" applyBorder="1" applyAlignment="1">
      <alignment horizontal="center" vertical="center" wrapText="1"/>
    </xf>
    <xf numFmtId="165" fontId="17" fillId="17" borderId="50" xfId="26" applyNumberFormat="1" applyBorder="1" applyAlignment="1">
      <alignment horizontal="center" vertical="center" wrapText="1"/>
    </xf>
    <xf numFmtId="165" fontId="17" fillId="17" borderId="31" xfId="26" applyNumberFormat="1" applyBorder="1" applyAlignment="1">
      <alignment horizontal="center" vertical="center" wrapText="1"/>
    </xf>
    <xf numFmtId="165" fontId="17" fillId="17" borderId="26" xfId="26" applyNumberFormat="1" applyBorder="1" applyAlignment="1">
      <alignment horizontal="center" vertical="center" wrapText="1"/>
    </xf>
    <xf numFmtId="165" fontId="17" fillId="21" borderId="50" xfId="30" applyNumberFormat="1" applyBorder="1" applyAlignment="1">
      <alignment horizontal="center" vertical="center" wrapText="1"/>
    </xf>
    <xf numFmtId="165" fontId="17" fillId="21" borderId="31" xfId="30" applyNumberFormat="1" applyBorder="1" applyAlignment="1">
      <alignment horizontal="center" vertical="center" wrapText="1"/>
    </xf>
    <xf numFmtId="165" fontId="17" fillId="21" borderId="26" xfId="30" applyNumberFormat="1" applyBorder="1" applyAlignment="1">
      <alignment horizontal="center" vertical="center" wrapText="1"/>
    </xf>
    <xf numFmtId="165" fontId="17" fillId="25" borderId="50" xfId="34" applyNumberFormat="1" applyBorder="1" applyAlignment="1">
      <alignment horizontal="center" vertical="center" wrapText="1"/>
    </xf>
    <xf numFmtId="165" fontId="17" fillId="25" borderId="31" xfId="34" applyNumberFormat="1" applyBorder="1" applyAlignment="1">
      <alignment horizontal="center" vertical="center" wrapText="1"/>
    </xf>
    <xf numFmtId="165" fontId="17" fillId="25" borderId="26" xfId="34" applyNumberFormat="1" applyBorder="1" applyAlignment="1">
      <alignment horizontal="center" vertical="center" wrapText="1"/>
    </xf>
    <xf numFmtId="165" fontId="17" fillId="29" borderId="50" xfId="38" applyNumberFormat="1" applyBorder="1" applyAlignment="1">
      <alignment horizontal="center" vertical="center" wrapText="1"/>
    </xf>
    <xf numFmtId="165" fontId="17" fillId="29" borderId="31" xfId="38" applyNumberFormat="1" applyBorder="1" applyAlignment="1">
      <alignment horizontal="center" vertical="center" wrapText="1"/>
    </xf>
    <xf numFmtId="165" fontId="17" fillId="29" borderId="26" xfId="38" applyNumberFormat="1" applyBorder="1" applyAlignment="1">
      <alignment horizontal="center"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hidden="1"/>
    <cellStyle name="Comma" xfId="47" builtinId="3"/>
    <cellStyle name="Comma [0]" xfId="44" builtinId="6" hidden="1"/>
    <cellStyle name="Currency" xfId="42" builtinId="4" hidden="1"/>
    <cellStyle name="Currency [0]" xfId="45" builtinId="7" hidde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6" builtinId="5" hidden="1"/>
    <cellStyle name="Title" xfId="1" builtinId="15" customBuiltin="1"/>
    <cellStyle name="Total" xfId="17" builtinId="25" customBuiltin="1"/>
    <cellStyle name="Warning Text" xfId="14" builtinId="11" customBuiltin="1"/>
  </cellStyles>
  <dxfs count="722">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b/>
        <i val="0"/>
        <color theme="0"/>
      </font>
      <fill>
        <patternFill>
          <bgColor rgb="FFFF00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ill>
        <patternFill>
          <bgColor rgb="FF92D05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ill>
        <patternFill>
          <bgColor rgb="FF92D05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ill>
        <patternFill>
          <bgColor rgb="FF92D05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b/>
        <i val="0"/>
        <color theme="0"/>
      </font>
      <fill>
        <patternFill>
          <bgColor rgb="FFFF0000"/>
        </patternFill>
      </fill>
    </dxf>
    <dxf>
      <font>
        <color theme="0"/>
      </font>
      <fill>
        <patternFill>
          <bgColor rgb="FFFF0000"/>
        </patternFill>
      </fill>
    </dxf>
    <dxf>
      <font>
        <color theme="1"/>
      </font>
      <fill>
        <patternFill>
          <bgColor theme="0"/>
        </patternFill>
      </fill>
    </dxf>
    <dxf>
      <font>
        <color theme="0"/>
      </font>
      <fill>
        <patternFill>
          <bgColor rgb="FFFF0000"/>
        </patternFill>
      </fill>
    </dxf>
    <dxf>
      <font>
        <color theme="1"/>
      </font>
      <fill>
        <patternFill>
          <bgColor theme="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ill>
        <patternFill>
          <bgColor rgb="FF92D050"/>
        </patternFill>
      </fill>
    </dxf>
    <dxf>
      <font>
        <color auto="1"/>
      </font>
      <fill>
        <patternFill>
          <bgColor rgb="FFFFFF00"/>
        </patternFill>
      </fill>
    </dxf>
    <dxf>
      <font>
        <color auto="1"/>
      </font>
      <fill>
        <patternFill>
          <bgColor rgb="FFFFFF00"/>
        </patternFill>
      </fill>
    </dxf>
    <dxf>
      <font>
        <color theme="0"/>
      </font>
      <fill>
        <patternFill>
          <bgColor rgb="FFFF0000"/>
        </patternFill>
      </fill>
    </dxf>
    <dxf>
      <font>
        <color theme="1"/>
      </font>
      <fill>
        <patternFill>
          <bgColor theme="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ill>
        <patternFill>
          <bgColor rgb="FF92D050"/>
        </patternFill>
      </fill>
    </dxf>
    <dxf>
      <font>
        <color auto="1"/>
      </font>
      <fill>
        <patternFill>
          <bgColor rgb="FFFFFF00"/>
        </patternFill>
      </fill>
    </dxf>
    <dxf>
      <font>
        <b/>
        <i val="0"/>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ill>
        <patternFill>
          <bgColor rgb="FF92D050"/>
        </patternFill>
      </fill>
    </dxf>
    <dxf>
      <font>
        <color auto="1"/>
      </font>
      <fill>
        <patternFill>
          <bgColor rgb="FFFFFF00"/>
        </patternFill>
      </fill>
    </dxf>
    <dxf>
      <font>
        <color theme="0"/>
      </font>
      <fill>
        <patternFill>
          <bgColor rgb="FFFF0000"/>
        </patternFill>
      </fill>
    </dxf>
    <dxf>
      <fill>
        <patternFill>
          <bgColor rgb="FF92D05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ill>
        <patternFill>
          <bgColor rgb="FF92D050"/>
        </patternFill>
      </fill>
    </dxf>
    <dxf>
      <fill>
        <patternFill>
          <bgColor rgb="FF92D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ont>
        <b/>
        <i val="0"/>
        <color theme="0"/>
      </font>
      <fill>
        <patternFill>
          <bgColor rgb="FFFF0000"/>
        </patternFill>
      </fill>
    </dxf>
    <dxf>
      <font>
        <color auto="1"/>
      </font>
      <fill>
        <patternFill>
          <bgColor rgb="FFFFFF00"/>
        </patternFill>
      </fill>
    </dxf>
    <dxf>
      <fill>
        <patternFill>
          <bgColor rgb="FF92D050"/>
        </patternFill>
      </fill>
    </dxf>
    <dxf>
      <fill>
        <patternFill>
          <bgColor rgb="FF92D05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auto="1"/>
      </font>
      <fill>
        <patternFill>
          <bgColor rgb="FFFFFF00"/>
        </patternFill>
      </fill>
    </dxf>
    <dxf>
      <font>
        <color theme="1"/>
      </font>
      <fill>
        <patternFill patternType="solid">
          <bgColor theme="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1"/>
      </font>
      <fill>
        <patternFill>
          <bgColor theme="0"/>
        </patternFill>
      </fill>
    </dxf>
    <dxf>
      <font>
        <b/>
        <i val="0"/>
        <color theme="0"/>
      </font>
      <fill>
        <patternFill>
          <bgColor rgb="FFFF0000"/>
        </patternFill>
      </fill>
    </dxf>
    <dxf>
      <font>
        <color auto="1"/>
      </font>
      <fill>
        <patternFill>
          <bgColor rgb="FFFFFF00"/>
        </patternFill>
      </fill>
    </dxf>
    <dxf>
      <font>
        <color theme="0"/>
      </font>
      <fill>
        <patternFill>
          <bgColor rgb="FFFF0000"/>
        </patternFill>
      </fill>
    </dxf>
    <dxf>
      <font>
        <color auto="1"/>
      </font>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rgb="FFFF0000"/>
        </patternFill>
      </fill>
    </dxf>
    <dxf>
      <font>
        <color auto="1"/>
      </font>
      <fill>
        <patternFill>
          <bgColor rgb="FFFFFF00"/>
        </patternFill>
      </fill>
    </dxf>
    <dxf>
      <fill>
        <patternFill>
          <bgColor rgb="FFFFFF00"/>
        </patternFill>
      </fill>
    </dxf>
    <dxf>
      <fill>
        <patternFill>
          <bgColor rgb="FFFFFF00"/>
        </patternFill>
      </fill>
    </dxf>
    <dxf>
      <font>
        <b/>
        <i val="0"/>
        <color theme="0"/>
      </font>
      <fill>
        <patternFill>
          <bgColor rgb="FFFF0000"/>
        </patternFill>
      </fill>
    </dxf>
    <dxf>
      <fill>
        <patternFill>
          <bgColor rgb="FFFFFF00"/>
        </patternFill>
      </fill>
    </dxf>
    <dxf>
      <font>
        <b/>
        <i val="0"/>
        <color theme="0"/>
      </font>
      <fill>
        <patternFill>
          <bgColor rgb="FFFF0000"/>
        </patternFill>
      </fill>
    </dxf>
    <dxf>
      <fill>
        <patternFill>
          <bgColor rgb="FF92D050"/>
        </patternFill>
      </fill>
    </dxf>
    <dxf>
      <font>
        <color auto="1"/>
      </font>
      <fill>
        <patternFill>
          <bgColor rgb="FFFFFF00"/>
        </patternFill>
      </fill>
    </dxf>
    <dxf>
      <fill>
        <patternFill>
          <bgColor rgb="FFFF0000"/>
        </patternFill>
      </fill>
    </dxf>
    <dxf>
      <font>
        <color theme="0"/>
      </font>
      <fill>
        <patternFill>
          <bgColor rgb="FFFF0000"/>
        </patternFill>
      </fill>
    </dxf>
    <dxf>
      <font>
        <color auto="1"/>
      </font>
      <fill>
        <patternFill>
          <bgColor rgb="FFFFFF00"/>
        </patternFill>
      </fill>
    </dxf>
    <dxf>
      <fill>
        <patternFill>
          <bgColor rgb="FFFFFF00"/>
        </patternFill>
      </fill>
    </dxf>
    <dxf>
      <font>
        <b/>
        <i val="0"/>
        <color theme="0"/>
      </font>
      <fill>
        <patternFill>
          <bgColor rgb="FFFF0000"/>
        </patternFill>
      </fill>
    </dxf>
    <dxf>
      <fill>
        <patternFill>
          <bgColor rgb="FF92D050"/>
        </patternFill>
      </fill>
    </dxf>
    <dxf>
      <font>
        <color auto="1"/>
      </font>
      <fill>
        <patternFill>
          <bgColor rgb="FFFFFF00"/>
        </patternFill>
      </fill>
    </dxf>
    <dxf>
      <fill>
        <patternFill>
          <bgColor rgb="FFFF00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ill>
        <patternFill>
          <bgColor rgb="FFFFFF00"/>
        </patternFill>
      </fill>
    </dxf>
    <dxf>
      <font>
        <b/>
        <i val="0"/>
        <color theme="0"/>
      </font>
      <fill>
        <patternFill>
          <bgColor rgb="FFFF0000"/>
        </patternFill>
      </fill>
    </dxf>
    <dxf>
      <fill>
        <patternFill>
          <bgColor rgb="FF92D050"/>
        </patternFill>
      </fill>
    </dxf>
    <dxf>
      <fill>
        <patternFill>
          <bgColor rgb="FF92D050"/>
        </patternFill>
      </fill>
    </dxf>
    <dxf>
      <font>
        <color auto="1"/>
      </font>
      <fill>
        <patternFill>
          <bgColor rgb="FFFFFF00"/>
        </patternFill>
      </fill>
    </dxf>
    <dxf>
      <font>
        <color auto="1"/>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0000"/>
        </patternFill>
      </fill>
    </dxf>
    <dxf>
      <font>
        <b/>
        <i val="0"/>
        <color theme="0"/>
      </font>
      <fill>
        <patternFill>
          <bgColor rgb="FFFF0000"/>
        </patternFill>
      </fill>
    </dxf>
    <dxf>
      <font>
        <color theme="0"/>
      </font>
      <fill>
        <patternFill>
          <bgColor rgb="FFFF0000"/>
        </patternFill>
      </fill>
    </dxf>
    <dxf>
      <font>
        <color auto="1"/>
      </font>
      <fill>
        <patternFill>
          <bgColor rgb="FFFFFF00"/>
        </patternFill>
      </fill>
    </dxf>
    <dxf>
      <font>
        <color auto="1"/>
      </font>
      <fill>
        <patternFill>
          <bgColor rgb="FFFFFF00"/>
        </patternFill>
      </fill>
    </dxf>
    <dxf>
      <fill>
        <patternFill>
          <bgColor rgb="FFFFFF00"/>
        </patternFill>
      </fill>
    </dxf>
    <dxf>
      <font>
        <b/>
        <i val="0"/>
        <color theme="0"/>
      </font>
      <fill>
        <patternFill>
          <bgColor rgb="FFFF0000"/>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font>
      <fill>
        <patternFill>
          <bgColor rgb="FFFF0000"/>
        </patternFill>
      </fill>
    </dxf>
  </dxfs>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yiat/Documents/Ignite/West%20Coast%20DM/SDBIP%202018-19/Copy%20of%20WES%20SDBIP%202018-2019%20MM%20%20Tegni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yiat/Documents/Ignite/West%20Coast%20DM/SDBIP%202018-19/Consolidated%20SDBIP%202018-19%20West%20Coast%20DM%20Draft%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1. Lists"/>
      <sheetName val="2. Top Layer"/>
      <sheetName val="MM"/>
      <sheetName val="Technical"/>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1. Lists"/>
      <sheetName val="2. Top Layer"/>
      <sheetName val="Office of the MM"/>
      <sheetName val="Admin &amp; Community"/>
      <sheetName val="Finance"/>
      <sheetName val="Technical"/>
      <sheetName val="3. Capital"/>
      <sheetName val="Monthly Cashflow"/>
      <sheetName val="RevBySource"/>
    </sheetNames>
    <sheetDataSet>
      <sheetData sheetId="0" refreshError="1"/>
      <sheetData sheetId="1">
        <row r="1">
          <cell r="E1" t="str">
            <v>Sub-Directorate [R]</v>
          </cell>
        </row>
        <row r="2">
          <cell r="F2" t="str">
            <v>Directorate [R]</v>
          </cell>
          <cell r="G2" t="str">
            <v>DirRef</v>
          </cell>
          <cell r="H2" t="str">
            <v>Sub-Directorate [R]</v>
          </cell>
          <cell r="I2" t="str">
            <v>Primary</v>
          </cell>
          <cell r="J2" t="str">
            <v>Sub Ref</v>
          </cell>
        </row>
        <row r="3">
          <cell r="E3" t="str">
            <v>Municipal Manager</v>
          </cell>
          <cell r="F3" t="str">
            <v>Office of the Municipal Manager</v>
          </cell>
          <cell r="G3">
            <v>1</v>
          </cell>
          <cell r="H3" t="str">
            <v>Municipal Manager</v>
          </cell>
          <cell r="I3" t="str">
            <v>Y</v>
          </cell>
          <cell r="J3">
            <v>1</v>
          </cell>
        </row>
        <row r="4">
          <cell r="E4" t="str">
            <v>Internal audit</v>
          </cell>
          <cell r="F4" t="str">
            <v>Office of the Municipal Manager</v>
          </cell>
          <cell r="G4">
            <v>1</v>
          </cell>
          <cell r="H4" t="str">
            <v>Internal audit</v>
          </cell>
          <cell r="I4" t="str">
            <v>N</v>
          </cell>
          <cell r="J4">
            <v>2</v>
          </cell>
        </row>
        <row r="5">
          <cell r="E5" t="str">
            <v>Strategic Services</v>
          </cell>
          <cell r="F5" t="str">
            <v>Office of the Municipal Manager</v>
          </cell>
          <cell r="G5">
            <v>1</v>
          </cell>
          <cell r="H5" t="str">
            <v>Strategic Services</v>
          </cell>
          <cell r="I5" t="str">
            <v>N</v>
          </cell>
          <cell r="J5">
            <v>3</v>
          </cell>
        </row>
        <row r="6">
          <cell r="E6" t="str">
            <v>Tourism</v>
          </cell>
          <cell r="F6" t="str">
            <v>Office of the Municipal Manager</v>
          </cell>
          <cell r="G6">
            <v>1</v>
          </cell>
          <cell r="H6" t="str">
            <v>Tourism</v>
          </cell>
          <cell r="I6" t="str">
            <v>N</v>
          </cell>
          <cell r="J6">
            <v>4</v>
          </cell>
        </row>
        <row r="7">
          <cell r="E7" t="str">
            <v>Human Resources</v>
          </cell>
          <cell r="F7" t="str">
            <v>Office of the Municipal Manager</v>
          </cell>
          <cell r="G7">
            <v>1</v>
          </cell>
          <cell r="H7" t="str">
            <v>Human Resources</v>
          </cell>
          <cell r="I7" t="str">
            <v>N</v>
          </cell>
          <cell r="J7">
            <v>5</v>
          </cell>
        </row>
        <row r="8">
          <cell r="E8" t="str">
            <v>Development</v>
          </cell>
          <cell r="F8" t="str">
            <v>Office of the Municipal Manager</v>
          </cell>
          <cell r="G8">
            <v>1</v>
          </cell>
          <cell r="H8" t="str">
            <v>Development</v>
          </cell>
          <cell r="I8" t="str">
            <v>N</v>
          </cell>
          <cell r="J8">
            <v>6</v>
          </cell>
        </row>
        <row r="9">
          <cell r="E9" t="str">
            <v>Risk Management Shared Service</v>
          </cell>
          <cell r="F9" t="str">
            <v>Office of the Municipal Manager</v>
          </cell>
          <cell r="G9">
            <v>1</v>
          </cell>
          <cell r="H9" t="str">
            <v>Risk Management Shared Service</v>
          </cell>
          <cell r="I9" t="str">
            <v>N</v>
          </cell>
          <cell r="J9">
            <v>7</v>
          </cell>
        </row>
        <row r="10">
          <cell r="E10" t="str">
            <v>Director: Administration &amp; Community Services</v>
          </cell>
          <cell r="F10" t="str">
            <v>Administration &amp; Community Services</v>
          </cell>
          <cell r="G10">
            <v>2</v>
          </cell>
          <cell r="H10" t="str">
            <v>Director: Administration &amp; Community Services</v>
          </cell>
          <cell r="I10" t="str">
            <v>Y</v>
          </cell>
          <cell r="J10">
            <v>8</v>
          </cell>
        </row>
        <row r="11">
          <cell r="E11" t="str">
            <v>Municipal Health Services</v>
          </cell>
          <cell r="F11" t="str">
            <v>Administration &amp; Community Services</v>
          </cell>
          <cell r="G11">
            <v>2</v>
          </cell>
          <cell r="H11" t="str">
            <v>Municipal Health Services</v>
          </cell>
          <cell r="I11" t="str">
            <v>N</v>
          </cell>
          <cell r="J11">
            <v>9</v>
          </cell>
        </row>
        <row r="12">
          <cell r="E12" t="str">
            <v>Public relations</v>
          </cell>
          <cell r="F12" t="str">
            <v>Administration &amp; Community Services</v>
          </cell>
          <cell r="G12">
            <v>2</v>
          </cell>
          <cell r="H12" t="str">
            <v>Public relations</v>
          </cell>
          <cell r="I12" t="str">
            <v>N</v>
          </cell>
          <cell r="J12">
            <v>10</v>
          </cell>
        </row>
        <row r="13">
          <cell r="E13" t="str">
            <v>Support Services</v>
          </cell>
          <cell r="F13" t="str">
            <v>Administration &amp; Community Services</v>
          </cell>
          <cell r="G13">
            <v>2</v>
          </cell>
          <cell r="H13" t="str">
            <v>Support Services</v>
          </cell>
          <cell r="I13" t="str">
            <v>N</v>
          </cell>
          <cell r="J13">
            <v>11</v>
          </cell>
        </row>
        <row r="14">
          <cell r="E14" t="str">
            <v>Protection Services</v>
          </cell>
          <cell r="F14" t="str">
            <v>Administration &amp; Community Services</v>
          </cell>
          <cell r="G14">
            <v>2</v>
          </cell>
          <cell r="H14" t="str">
            <v>Protection Services</v>
          </cell>
          <cell r="I14" t="str">
            <v>N</v>
          </cell>
          <cell r="J14">
            <v>12</v>
          </cell>
        </row>
        <row r="15">
          <cell r="E15" t="str">
            <v>Fire Services</v>
          </cell>
          <cell r="F15" t="str">
            <v>Administration &amp; Community Services</v>
          </cell>
          <cell r="G15">
            <v>2</v>
          </cell>
          <cell r="H15" t="str">
            <v>Fire Services</v>
          </cell>
          <cell r="I15" t="str">
            <v>N</v>
          </cell>
          <cell r="J15">
            <v>13</v>
          </cell>
        </row>
        <row r="16">
          <cell r="E16" t="str">
            <v>Administration</v>
          </cell>
          <cell r="F16" t="str">
            <v>Administration &amp; Community Services</v>
          </cell>
          <cell r="G16">
            <v>2</v>
          </cell>
          <cell r="H16" t="str">
            <v>Administration</v>
          </cell>
          <cell r="I16" t="str">
            <v>N</v>
          </cell>
          <cell r="J16">
            <v>14</v>
          </cell>
        </row>
        <row r="17">
          <cell r="E17" t="str">
            <v>Disaster Management</v>
          </cell>
          <cell r="F17" t="str">
            <v>Administration &amp; Community Services</v>
          </cell>
          <cell r="G17">
            <v>2</v>
          </cell>
          <cell r="H17" t="str">
            <v>Disaster Management</v>
          </cell>
          <cell r="I17" t="str">
            <v>N</v>
          </cell>
          <cell r="J17">
            <v>15</v>
          </cell>
        </row>
        <row r="18">
          <cell r="E18" t="str">
            <v>Director: Financial Services</v>
          </cell>
          <cell r="F18" t="str">
            <v>Financial Services</v>
          </cell>
          <cell r="G18">
            <v>3</v>
          </cell>
          <cell r="H18" t="str">
            <v>Director: Financial Services</v>
          </cell>
          <cell r="I18" t="str">
            <v>Y</v>
          </cell>
          <cell r="J18">
            <v>16</v>
          </cell>
        </row>
        <row r="19">
          <cell r="E19" t="str">
            <v>SCM</v>
          </cell>
          <cell r="F19" t="str">
            <v>Financial Services</v>
          </cell>
          <cell r="G19">
            <v>3</v>
          </cell>
          <cell r="H19" t="str">
            <v>SCM</v>
          </cell>
          <cell r="I19" t="str">
            <v>N</v>
          </cell>
          <cell r="J19">
            <v>17</v>
          </cell>
        </row>
        <row r="20">
          <cell r="E20" t="str">
            <v>Control</v>
          </cell>
          <cell r="F20" t="str">
            <v>Financial Services</v>
          </cell>
          <cell r="G20">
            <v>3</v>
          </cell>
          <cell r="H20" t="str">
            <v>Control</v>
          </cell>
          <cell r="I20" t="str">
            <v>N</v>
          </cell>
          <cell r="J20">
            <v>18</v>
          </cell>
        </row>
        <row r="21">
          <cell r="E21" t="str">
            <v>Income &amp; Expenditure</v>
          </cell>
          <cell r="F21" t="str">
            <v>Financial Services</v>
          </cell>
          <cell r="G21">
            <v>3</v>
          </cell>
          <cell r="H21" t="str">
            <v>Income &amp; Expenditure</v>
          </cell>
          <cell r="I21" t="str">
            <v>N</v>
          </cell>
          <cell r="J21">
            <v>19</v>
          </cell>
        </row>
        <row r="22">
          <cell r="E22" t="str">
            <v>Information Technology</v>
          </cell>
          <cell r="F22" t="str">
            <v>Financial Services</v>
          </cell>
          <cell r="G22">
            <v>3</v>
          </cell>
          <cell r="H22" t="str">
            <v>Information Technology</v>
          </cell>
          <cell r="I22" t="str">
            <v>N</v>
          </cell>
          <cell r="J22">
            <v>20</v>
          </cell>
        </row>
        <row r="23">
          <cell r="E23" t="str">
            <v>Resorts</v>
          </cell>
          <cell r="F23" t="str">
            <v>Financial Services</v>
          </cell>
          <cell r="G23">
            <v>3</v>
          </cell>
          <cell r="H23" t="str">
            <v>Resorts</v>
          </cell>
          <cell r="I23" t="str">
            <v>N</v>
          </cell>
          <cell r="J23">
            <v>21</v>
          </cell>
        </row>
        <row r="24">
          <cell r="E24" t="str">
            <v>Director: Technical Services</v>
          </cell>
          <cell r="F24" t="str">
            <v>Technical Services</v>
          </cell>
          <cell r="G24">
            <v>4</v>
          </cell>
          <cell r="H24" t="str">
            <v>Director: Technical Services</v>
          </cell>
          <cell r="I24" t="str">
            <v>Y</v>
          </cell>
          <cell r="J24">
            <v>22</v>
          </cell>
        </row>
        <row r="25">
          <cell r="E25" t="str">
            <v>Roads</v>
          </cell>
          <cell r="F25" t="str">
            <v>Technical Services</v>
          </cell>
          <cell r="G25">
            <v>4</v>
          </cell>
          <cell r="H25" t="str">
            <v>Roads</v>
          </cell>
          <cell r="I25" t="str">
            <v>N</v>
          </cell>
          <cell r="J25">
            <v>23</v>
          </cell>
        </row>
        <row r="26">
          <cell r="E26" t="str">
            <v>Spatial Planning</v>
          </cell>
          <cell r="F26" t="str">
            <v>Technical Services</v>
          </cell>
          <cell r="G26">
            <v>4</v>
          </cell>
          <cell r="H26" t="str">
            <v>Spatial Planning</v>
          </cell>
          <cell r="I26" t="str">
            <v>N</v>
          </cell>
          <cell r="J26">
            <v>24</v>
          </cell>
        </row>
        <row r="27">
          <cell r="E27" t="str">
            <v>Waterworks</v>
          </cell>
          <cell r="F27" t="str">
            <v>Technical Services</v>
          </cell>
          <cell r="G27">
            <v>4</v>
          </cell>
          <cell r="H27" t="str">
            <v>Waterworks</v>
          </cell>
          <cell r="I27" t="str">
            <v>N</v>
          </cell>
          <cell r="J27">
            <v>25</v>
          </cell>
        </row>
        <row r="28">
          <cell r="E28" t="str">
            <v/>
          </cell>
          <cell r="G28" t="str">
            <v/>
          </cell>
          <cell r="J28">
            <v>26</v>
          </cell>
        </row>
        <row r="29">
          <cell r="E29" t="str">
            <v/>
          </cell>
          <cell r="G29" t="str">
            <v/>
          </cell>
          <cell r="J29">
            <v>27</v>
          </cell>
        </row>
        <row r="30">
          <cell r="E30" t="str">
            <v/>
          </cell>
          <cell r="G30" t="str">
            <v/>
          </cell>
          <cell r="J30">
            <v>28</v>
          </cell>
        </row>
        <row r="31">
          <cell r="E31" t="str">
            <v/>
          </cell>
          <cell r="G31" t="str">
            <v/>
          </cell>
          <cell r="J31">
            <v>29</v>
          </cell>
        </row>
        <row r="32">
          <cell r="E32" t="str">
            <v/>
          </cell>
          <cell r="G32" t="str">
            <v/>
          </cell>
          <cell r="J32">
            <v>30</v>
          </cell>
        </row>
        <row r="33">
          <cell r="E33" t="str">
            <v/>
          </cell>
          <cell r="G33" t="str">
            <v/>
          </cell>
          <cell r="J33">
            <v>31</v>
          </cell>
        </row>
        <row r="34">
          <cell r="E34" t="str">
            <v/>
          </cell>
          <cell r="G34" t="str">
            <v/>
          </cell>
          <cell r="J34">
            <v>32</v>
          </cell>
        </row>
        <row r="35">
          <cell r="E35" t="str">
            <v/>
          </cell>
          <cell r="G35" t="str">
            <v/>
          </cell>
          <cell r="J35">
            <v>33</v>
          </cell>
        </row>
        <row r="36">
          <cell r="E36" t="str">
            <v/>
          </cell>
          <cell r="G36" t="str">
            <v/>
          </cell>
          <cell r="J36">
            <v>34</v>
          </cell>
        </row>
        <row r="37">
          <cell r="E37" t="str">
            <v/>
          </cell>
          <cell r="G37" t="str">
            <v/>
          </cell>
          <cell r="J37">
            <v>35</v>
          </cell>
        </row>
        <row r="38">
          <cell r="E38" t="str">
            <v/>
          </cell>
          <cell r="G38" t="str">
            <v/>
          </cell>
          <cell r="J38">
            <v>36</v>
          </cell>
        </row>
        <row r="39">
          <cell r="E39" t="str">
            <v/>
          </cell>
          <cell r="G39" t="str">
            <v/>
          </cell>
          <cell r="J39">
            <v>37</v>
          </cell>
        </row>
        <row r="40">
          <cell r="E40" t="str">
            <v/>
          </cell>
          <cell r="G40" t="str">
            <v/>
          </cell>
          <cell r="J40">
            <v>38</v>
          </cell>
        </row>
        <row r="41">
          <cell r="E41" t="str">
            <v/>
          </cell>
          <cell r="G41" t="str">
            <v/>
          </cell>
          <cell r="J41">
            <v>39</v>
          </cell>
        </row>
        <row r="42">
          <cell r="E42" t="str">
            <v/>
          </cell>
          <cell r="G42" t="str">
            <v/>
          </cell>
          <cell r="J42">
            <v>40</v>
          </cell>
        </row>
        <row r="43">
          <cell r="E43" t="str">
            <v/>
          </cell>
          <cell r="G43" t="str">
            <v/>
          </cell>
          <cell r="J43">
            <v>41</v>
          </cell>
        </row>
        <row r="44">
          <cell r="E44" t="str">
            <v/>
          </cell>
          <cell r="G44" t="str">
            <v/>
          </cell>
          <cell r="J44">
            <v>42</v>
          </cell>
        </row>
        <row r="45">
          <cell r="E45" t="str">
            <v/>
          </cell>
          <cell r="G45" t="str">
            <v/>
          </cell>
          <cell r="J45">
            <v>43</v>
          </cell>
        </row>
        <row r="46">
          <cell r="E46" t="str">
            <v/>
          </cell>
          <cell r="G46" t="str">
            <v/>
          </cell>
          <cell r="J46">
            <v>44</v>
          </cell>
        </row>
        <row r="47">
          <cell r="E47" t="str">
            <v/>
          </cell>
          <cell r="G47" t="str">
            <v/>
          </cell>
          <cell r="J47">
            <v>45</v>
          </cell>
        </row>
        <row r="48">
          <cell r="E48" t="str">
            <v/>
          </cell>
          <cell r="G48" t="str">
            <v/>
          </cell>
          <cell r="J48">
            <v>46</v>
          </cell>
        </row>
        <row r="49">
          <cell r="E49" t="str">
            <v/>
          </cell>
          <cell r="G49" t="str">
            <v/>
          </cell>
          <cell r="J49">
            <v>47</v>
          </cell>
        </row>
        <row r="50">
          <cell r="E50" t="str">
            <v/>
          </cell>
          <cell r="G50" t="str">
            <v/>
          </cell>
          <cell r="J50">
            <v>48</v>
          </cell>
        </row>
        <row r="51">
          <cell r="E51" t="str">
            <v/>
          </cell>
          <cell r="G51" t="str">
            <v/>
          </cell>
          <cell r="J51">
            <v>49</v>
          </cell>
        </row>
        <row r="52">
          <cell r="E52" t="str">
            <v/>
          </cell>
          <cell r="G52" t="str">
            <v/>
          </cell>
          <cell r="J52">
            <v>50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workbookViewId="0">
      <selection activeCell="C11" sqref="C11"/>
    </sheetView>
  </sheetViews>
  <sheetFormatPr defaultRowHeight="15" x14ac:dyDescent="0.25"/>
  <cols>
    <col min="1" max="1" width="25.7109375" bestFit="1" customWidth="1"/>
    <col min="2" max="2" width="15.42578125" bestFit="1" customWidth="1"/>
    <col min="3" max="3" width="33.85546875" customWidth="1"/>
    <col min="4" max="4" width="29.5703125" customWidth="1"/>
    <col min="6" max="6" width="25.7109375" bestFit="1" customWidth="1"/>
    <col min="7" max="7" width="9.140625" bestFit="1" customWidth="1"/>
    <col min="8" max="8" width="25.7109375" bestFit="1" customWidth="1"/>
    <col min="9" max="9" width="28.7109375" bestFit="1" customWidth="1"/>
    <col min="11" max="11" width="27.28515625" bestFit="1" customWidth="1"/>
    <col min="13" max="13" width="24.140625" bestFit="1" customWidth="1"/>
    <col min="14" max="14" width="27.28515625" bestFit="1" customWidth="1"/>
  </cols>
  <sheetData>
    <row r="1" spans="1:6" x14ac:dyDescent="0.25">
      <c r="A1" s="27" t="s">
        <v>196</v>
      </c>
      <c r="B1" s="55">
        <v>2018</v>
      </c>
    </row>
    <row r="2" spans="1:6" x14ac:dyDescent="0.25">
      <c r="A2" s="27" t="s">
        <v>197</v>
      </c>
      <c r="B2" s="55">
        <v>2019</v>
      </c>
    </row>
    <row r="4" spans="1:6" x14ac:dyDescent="0.25">
      <c r="A4" s="27" t="s">
        <v>198</v>
      </c>
    </row>
    <row r="5" spans="1:6" x14ac:dyDescent="0.25">
      <c r="A5" s="55" t="s">
        <v>109</v>
      </c>
      <c r="B5" t="str">
        <f t="shared" ref="B5:B10" si="0">A5&amp;" "&amp;start_year</f>
        <v>July 2018</v>
      </c>
    </row>
    <row r="6" spans="1:6" x14ac:dyDescent="0.25">
      <c r="A6" s="55" t="s">
        <v>110</v>
      </c>
      <c r="B6" t="str">
        <f t="shared" si="0"/>
        <v>August 2018</v>
      </c>
    </row>
    <row r="7" spans="1:6" x14ac:dyDescent="0.25">
      <c r="A7" s="55" t="s">
        <v>111</v>
      </c>
      <c r="B7" t="str">
        <f t="shared" si="0"/>
        <v>September 2018</v>
      </c>
    </row>
    <row r="8" spans="1:6" x14ac:dyDescent="0.25">
      <c r="A8" s="55" t="s">
        <v>112</v>
      </c>
      <c r="B8" t="str">
        <f t="shared" si="0"/>
        <v>October 2018</v>
      </c>
    </row>
    <row r="9" spans="1:6" x14ac:dyDescent="0.25">
      <c r="A9" s="55" t="s">
        <v>113</v>
      </c>
      <c r="B9" t="str">
        <f t="shared" si="0"/>
        <v>November 2018</v>
      </c>
    </row>
    <row r="10" spans="1:6" x14ac:dyDescent="0.25">
      <c r="A10" s="55" t="s">
        <v>114</v>
      </c>
      <c r="B10" t="str">
        <f t="shared" si="0"/>
        <v>December 2018</v>
      </c>
    </row>
    <row r="11" spans="1:6" x14ac:dyDescent="0.25">
      <c r="A11" s="55" t="s">
        <v>115</v>
      </c>
      <c r="B11" t="str">
        <f t="shared" ref="B11:B16" si="1">A11&amp;" "&amp;end_year</f>
        <v>January 2019</v>
      </c>
    </row>
    <row r="12" spans="1:6" x14ac:dyDescent="0.25">
      <c r="A12" s="55" t="s">
        <v>116</v>
      </c>
      <c r="B12" t="str">
        <f t="shared" si="1"/>
        <v>February 2019</v>
      </c>
      <c r="D12" s="414" t="s">
        <v>332</v>
      </c>
      <c r="E12" s="414"/>
      <c r="F12" s="414"/>
    </row>
    <row r="13" spans="1:6" x14ac:dyDescent="0.25">
      <c r="A13" s="55" t="s">
        <v>117</v>
      </c>
      <c r="B13" t="str">
        <f t="shared" si="1"/>
        <v>March 2019</v>
      </c>
      <c r="D13" s="414"/>
      <c r="E13" s="414"/>
      <c r="F13" s="414"/>
    </row>
    <row r="14" spans="1:6" x14ac:dyDescent="0.25">
      <c r="A14" s="55" t="s">
        <v>118</v>
      </c>
      <c r="B14" t="str">
        <f t="shared" si="1"/>
        <v>April 2019</v>
      </c>
      <c r="D14" s="414"/>
      <c r="E14" s="414"/>
      <c r="F14" s="414"/>
    </row>
    <row r="15" spans="1:6" x14ac:dyDescent="0.25">
      <c r="A15" s="55" t="s">
        <v>119</v>
      </c>
      <c r="B15" t="str">
        <f t="shared" si="1"/>
        <v>May 2019</v>
      </c>
      <c r="D15" s="414"/>
      <c r="E15" s="414"/>
      <c r="F15" s="414"/>
    </row>
    <row r="16" spans="1:6" x14ac:dyDescent="0.25">
      <c r="A16" s="55" t="s">
        <v>120</v>
      </c>
      <c r="B16" t="str">
        <f t="shared" si="1"/>
        <v>June 2019</v>
      </c>
      <c r="D16" s="414"/>
      <c r="E16" s="414"/>
      <c r="F16" s="414"/>
    </row>
    <row r="17" spans="1:14" x14ac:dyDescent="0.25">
      <c r="D17" s="414"/>
      <c r="E17" s="414"/>
      <c r="F17" s="414"/>
    </row>
    <row r="21" spans="1:14" x14ac:dyDescent="0.25">
      <c r="A21" s="411" t="s">
        <v>220</v>
      </c>
      <c r="B21" s="411"/>
      <c r="C21" s="411"/>
      <c r="D21" s="411"/>
      <c r="F21" s="412" t="s">
        <v>221</v>
      </c>
      <c r="G21" s="412"/>
      <c r="H21" s="412"/>
      <c r="I21" s="412"/>
      <c r="K21" s="413" t="s">
        <v>97</v>
      </c>
      <c r="L21" s="413"/>
      <c r="M21" s="413"/>
      <c r="N21" s="413"/>
    </row>
    <row r="22" spans="1:14" x14ac:dyDescent="0.25">
      <c r="A22" s="42" t="s">
        <v>201</v>
      </c>
      <c r="B22" s="42" t="s">
        <v>205</v>
      </c>
      <c r="C22" s="42" t="s">
        <v>202</v>
      </c>
      <c r="D22" s="42" t="s">
        <v>204</v>
      </c>
      <c r="F22" s="45" t="s">
        <v>201</v>
      </c>
      <c r="G22" s="45" t="s">
        <v>205</v>
      </c>
      <c r="H22" s="45" t="s">
        <v>202</v>
      </c>
      <c r="I22" s="45" t="s">
        <v>204</v>
      </c>
      <c r="K22" s="46" t="s">
        <v>201</v>
      </c>
      <c r="L22" s="46" t="s">
        <v>205</v>
      </c>
      <c r="M22" s="46" t="s">
        <v>202</v>
      </c>
      <c r="N22" s="46" t="s">
        <v>204</v>
      </c>
    </row>
    <row r="23" spans="1:14" x14ac:dyDescent="0.25">
      <c r="A23" t="s">
        <v>2</v>
      </c>
      <c r="B23" s="28" t="s">
        <v>185</v>
      </c>
      <c r="C23" s="41" t="str">
        <f>A23</f>
        <v>Sub-Directorate</v>
      </c>
      <c r="D23" t="str">
        <f>C23&amp;IF(B23="Y"," [R]","")</f>
        <v>Sub-Directorate [R]</v>
      </c>
      <c r="F23" t="s">
        <v>1</v>
      </c>
      <c r="G23" s="28" t="s">
        <v>185</v>
      </c>
      <c r="H23" s="41" t="str">
        <f>F23</f>
        <v>Directorate</v>
      </c>
      <c r="I23" t="str">
        <f>H23&amp;IF(G23="Y"," [R]","")</f>
        <v>Directorate [R]</v>
      </c>
      <c r="K23" s="43" t="str">
        <f>C23</f>
        <v>Sub-Directorate</v>
      </c>
      <c r="L23" s="28" t="s">
        <v>185</v>
      </c>
      <c r="N23" t="str">
        <f>K23&amp;IF(L23="Y"," [R]","")</f>
        <v>Sub-Directorate [R]</v>
      </c>
    </row>
    <row r="24" spans="1:14" x14ac:dyDescent="0.25">
      <c r="A24" t="s">
        <v>177</v>
      </c>
      <c r="B24" s="28"/>
      <c r="C24" s="41" t="str">
        <f t="shared" ref="C24:C56" si="2">A24</f>
        <v>Top Layer KPI</v>
      </c>
      <c r="D24" t="str">
        <f t="shared" ref="D24:D56" si="3">C24&amp;IF(B24="Y"," [R]","")</f>
        <v>Top Layer KPI</v>
      </c>
      <c r="F24" t="s">
        <v>146</v>
      </c>
      <c r="G24" s="28" t="s">
        <v>185</v>
      </c>
      <c r="H24" s="41" t="str">
        <f t="shared" ref="H24:H51" si="4">F24</f>
        <v>Reporting KPI</v>
      </c>
      <c r="I24" t="str">
        <f t="shared" ref="I24:I51" si="5">H24&amp;IF(G24="Y"," [R]","")</f>
        <v>Reporting KPI [R]</v>
      </c>
      <c r="K24" s="43" t="str">
        <f>C25</f>
        <v>Function</v>
      </c>
      <c r="L24" s="28" t="s">
        <v>185</v>
      </c>
      <c r="N24" t="str">
        <f>K24&amp;IF(L24="Y"," [R]","")</f>
        <v>Function [R]</v>
      </c>
    </row>
    <row r="25" spans="1:14" x14ac:dyDescent="0.25">
      <c r="A25" t="s">
        <v>203</v>
      </c>
      <c r="B25" s="28" t="s">
        <v>185</v>
      </c>
      <c r="C25" s="41" t="str">
        <f t="shared" si="2"/>
        <v>Function</v>
      </c>
      <c r="D25" t="str">
        <f t="shared" si="3"/>
        <v>Function [R]</v>
      </c>
      <c r="F25" t="s">
        <v>49</v>
      </c>
      <c r="G25" s="28"/>
      <c r="H25" s="41" t="str">
        <f t="shared" si="4"/>
        <v>IDP Ref</v>
      </c>
      <c r="I25" t="str">
        <f t="shared" si="5"/>
        <v>IDP Ref</v>
      </c>
      <c r="K25" t="s">
        <v>87</v>
      </c>
      <c r="L25" s="28"/>
      <c r="M25" s="41" t="str">
        <f>K25</f>
        <v>Mun CP Ref</v>
      </c>
      <c r="N25" t="str">
        <f t="shared" ref="N25:N33" si="6">M25&amp;IF(L25="Y"," [R]","")</f>
        <v>Mun CP Ref</v>
      </c>
    </row>
    <row r="26" spans="1:14" x14ac:dyDescent="0.25">
      <c r="A26" t="s">
        <v>49</v>
      </c>
      <c r="B26" s="28"/>
      <c r="C26" s="41" t="str">
        <f t="shared" si="2"/>
        <v>IDP Ref</v>
      </c>
      <c r="D26" t="str">
        <f t="shared" si="3"/>
        <v>IDP Ref</v>
      </c>
      <c r="F26" s="43" t="str">
        <f>C25</f>
        <v>Function</v>
      </c>
      <c r="G26" s="28" t="s">
        <v>185</v>
      </c>
      <c r="H26" s="44"/>
      <c r="I26" t="str">
        <f>F26&amp;IF(G26="Y"," [R]","")</f>
        <v>Function [R]</v>
      </c>
      <c r="K26" t="s">
        <v>26</v>
      </c>
      <c r="L26" s="28"/>
      <c r="M26" s="41" t="str">
        <f t="shared" ref="M26:M33" si="7">K26</f>
        <v>IDP Number</v>
      </c>
      <c r="N26" t="str">
        <f t="shared" si="6"/>
        <v>IDP Number</v>
      </c>
    </row>
    <row r="27" spans="1:14" x14ac:dyDescent="0.25">
      <c r="A27" t="s">
        <v>48</v>
      </c>
      <c r="B27" s="28" t="s">
        <v>185</v>
      </c>
      <c r="C27" s="41" t="str">
        <f t="shared" si="2"/>
        <v>National Outcome</v>
      </c>
      <c r="D27" t="str">
        <f t="shared" si="3"/>
        <v>National Outcome [R]</v>
      </c>
      <c r="F27" s="43" t="str">
        <f>C27</f>
        <v>National Outcome</v>
      </c>
      <c r="G27" s="28" t="s">
        <v>185</v>
      </c>
      <c r="H27" s="44"/>
      <c r="I27" t="str">
        <f t="shared" ref="I27:I30" si="8">F27&amp;IF(G27="Y"," [R]","")</f>
        <v>National Outcome [R]</v>
      </c>
      <c r="K27" t="s">
        <v>27</v>
      </c>
      <c r="L27" s="28"/>
      <c r="M27" s="41" t="str">
        <f t="shared" si="7"/>
        <v>Vote Number</v>
      </c>
      <c r="N27" t="str">
        <f t="shared" si="6"/>
        <v>Vote Number</v>
      </c>
    </row>
    <row r="28" spans="1:14" x14ac:dyDescent="0.25">
      <c r="A28" t="s">
        <v>207</v>
      </c>
      <c r="B28" s="28" t="s">
        <v>185</v>
      </c>
      <c r="C28" s="41" t="str">
        <f t="shared" si="2"/>
        <v>IDP Objective</v>
      </c>
      <c r="D28" t="str">
        <f t="shared" si="3"/>
        <v>IDP Objective [R]</v>
      </c>
      <c r="F28" s="43" t="str">
        <f>C29</f>
        <v>National KPA</v>
      </c>
      <c r="G28" s="28" t="s">
        <v>185</v>
      </c>
      <c r="H28" s="44"/>
      <c r="I28" t="str">
        <f t="shared" si="8"/>
        <v>National KPA [R]</v>
      </c>
      <c r="K28" t="s">
        <v>214</v>
      </c>
      <c r="L28" s="28" t="s">
        <v>185</v>
      </c>
      <c r="M28" s="41" t="str">
        <f t="shared" si="7"/>
        <v>Project name</v>
      </c>
      <c r="N28" t="str">
        <f t="shared" si="6"/>
        <v>Project name [R]</v>
      </c>
    </row>
    <row r="29" spans="1:14" x14ac:dyDescent="0.25">
      <c r="A29" t="s">
        <v>17</v>
      </c>
      <c r="B29" s="28" t="s">
        <v>185</v>
      </c>
      <c r="C29" s="41" t="str">
        <f t="shared" si="2"/>
        <v>National KPA</v>
      </c>
      <c r="D29" t="str">
        <f t="shared" si="3"/>
        <v>National KPA [R]</v>
      </c>
      <c r="F29" s="43" t="str">
        <f>C31</f>
        <v>Pre-determined Objectives</v>
      </c>
      <c r="G29" s="28" t="s">
        <v>185</v>
      </c>
      <c r="H29" s="44"/>
      <c r="I29" t="str">
        <f t="shared" si="8"/>
        <v>Pre-determined Objectives [R]</v>
      </c>
      <c r="K29" t="s">
        <v>28</v>
      </c>
      <c r="L29" s="28"/>
      <c r="M29" s="41" t="str">
        <f t="shared" si="7"/>
        <v>Project Description</v>
      </c>
      <c r="N29" t="str">
        <f t="shared" si="6"/>
        <v>Project Description</v>
      </c>
    </row>
    <row r="30" spans="1:14" x14ac:dyDescent="0.25">
      <c r="A30" t="s">
        <v>18</v>
      </c>
      <c r="B30" s="28" t="s">
        <v>185</v>
      </c>
      <c r="C30" s="41" t="str">
        <f t="shared" si="2"/>
        <v>Municipal KPA</v>
      </c>
      <c r="D30" t="str">
        <f t="shared" si="3"/>
        <v>Municipal KPA [R]</v>
      </c>
      <c r="F30" s="43" t="str">
        <f>C32</f>
        <v>NDP Objective</v>
      </c>
      <c r="G30" s="28" t="s">
        <v>185</v>
      </c>
      <c r="H30" s="44"/>
      <c r="I30" t="str">
        <f t="shared" si="8"/>
        <v>NDP Objective [R]</v>
      </c>
      <c r="K30" t="s">
        <v>215</v>
      </c>
      <c r="L30" s="28" t="s">
        <v>185</v>
      </c>
      <c r="M30" s="41" t="str">
        <f t="shared" si="7"/>
        <v>Funding source</v>
      </c>
      <c r="N30" t="str">
        <f t="shared" si="6"/>
        <v>Funding source [R]</v>
      </c>
    </row>
    <row r="31" spans="1:14" x14ac:dyDescent="0.25">
      <c r="A31" t="s">
        <v>175</v>
      </c>
      <c r="B31" s="28" t="s">
        <v>185</v>
      </c>
      <c r="C31" s="41" t="str">
        <f t="shared" si="2"/>
        <v>Pre-determined Objectives</v>
      </c>
      <c r="D31" t="str">
        <f t="shared" si="3"/>
        <v>Pre-determined Objectives [R]</v>
      </c>
      <c r="F31" t="s">
        <v>207</v>
      </c>
      <c r="G31" s="28" t="s">
        <v>185</v>
      </c>
      <c r="H31" s="41" t="str">
        <f t="shared" si="4"/>
        <v>IDP Objective</v>
      </c>
      <c r="I31" t="str">
        <f t="shared" si="5"/>
        <v>IDP Objective [R]</v>
      </c>
      <c r="K31" t="s">
        <v>216</v>
      </c>
      <c r="L31" s="28" t="s">
        <v>185</v>
      </c>
      <c r="M31" s="41" t="str">
        <f t="shared" si="7"/>
        <v>Planned Start Date</v>
      </c>
      <c r="N31" t="str">
        <f t="shared" si="6"/>
        <v>Planned Start Date [R]</v>
      </c>
    </row>
    <row r="32" spans="1:14" x14ac:dyDescent="0.25">
      <c r="A32" t="s">
        <v>163</v>
      </c>
      <c r="B32" s="28" t="s">
        <v>185</v>
      </c>
      <c r="C32" s="41" t="str">
        <f t="shared" si="2"/>
        <v>NDP Objective</v>
      </c>
      <c r="D32" t="str">
        <f t="shared" si="3"/>
        <v>NDP Objective [R]</v>
      </c>
      <c r="F32" s="43" t="str">
        <f>C30</f>
        <v>Municipal KPA</v>
      </c>
      <c r="G32" s="28" t="s">
        <v>185</v>
      </c>
      <c r="H32" s="44"/>
      <c r="I32" t="str">
        <f>F32&amp;IF(G32="Y"," [R]","")</f>
        <v>Municipal KPA [R]</v>
      </c>
      <c r="K32" t="s">
        <v>217</v>
      </c>
      <c r="L32" s="28" t="s">
        <v>185</v>
      </c>
      <c r="M32" s="41" t="str">
        <f t="shared" si="7"/>
        <v>Planned Completion Date</v>
      </c>
      <c r="N32" t="str">
        <f t="shared" si="6"/>
        <v>Planned Completion Date [R]</v>
      </c>
    </row>
    <row r="33" spans="1:14" x14ac:dyDescent="0.25">
      <c r="A33" t="s">
        <v>97</v>
      </c>
      <c r="B33" s="28"/>
      <c r="C33" s="41" t="str">
        <f t="shared" si="2"/>
        <v>Capital Project</v>
      </c>
      <c r="D33" t="str">
        <f t="shared" si="3"/>
        <v>Capital Project</v>
      </c>
      <c r="F33" t="s">
        <v>208</v>
      </c>
      <c r="G33" s="28" t="s">
        <v>185</v>
      </c>
      <c r="H33" s="41" t="str">
        <f t="shared" si="4"/>
        <v>KPI Name</v>
      </c>
      <c r="I33" t="str">
        <f t="shared" si="5"/>
        <v>KPI Name [R]</v>
      </c>
      <c r="K33" t="s">
        <v>29</v>
      </c>
      <c r="L33" s="28"/>
      <c r="M33" s="41" t="str">
        <f t="shared" si="7"/>
        <v>Actual Start Date</v>
      </c>
      <c r="N33" t="str">
        <f t="shared" si="6"/>
        <v>Actual Start Date</v>
      </c>
    </row>
    <row r="34" spans="1:14" x14ac:dyDescent="0.25">
      <c r="A34" t="s">
        <v>208</v>
      </c>
      <c r="B34" s="28" t="s">
        <v>185</v>
      </c>
      <c r="C34" s="41" t="str">
        <f t="shared" si="2"/>
        <v>KPI Name</v>
      </c>
      <c r="D34" t="str">
        <f t="shared" si="3"/>
        <v>KPI Name [R]</v>
      </c>
      <c r="F34" t="s">
        <v>19</v>
      </c>
      <c r="G34" s="28"/>
      <c r="H34" s="41" t="str">
        <f t="shared" si="4"/>
        <v>Unit of Measurement</v>
      </c>
      <c r="I34" t="str">
        <f t="shared" si="5"/>
        <v>Unit of Measurement</v>
      </c>
      <c r="K34" s="43" t="str">
        <f>F37</f>
        <v>Ward</v>
      </c>
      <c r="L34" s="28" t="s">
        <v>185</v>
      </c>
      <c r="N34" t="str">
        <f>K34&amp;IF(L34="Y"," [R]","")</f>
        <v>Ward [R]</v>
      </c>
    </row>
    <row r="35" spans="1:14" x14ac:dyDescent="0.25">
      <c r="A35" t="s">
        <v>19</v>
      </c>
      <c r="B35" s="28"/>
      <c r="C35" s="41" t="str">
        <f t="shared" si="2"/>
        <v>Unit of Measurement</v>
      </c>
      <c r="D35" t="str">
        <f t="shared" si="3"/>
        <v>Unit of Measurement</v>
      </c>
      <c r="F35" t="s">
        <v>172</v>
      </c>
      <c r="G35" s="28"/>
      <c r="H35" s="41" t="str">
        <f t="shared" si="4"/>
        <v>Risk</v>
      </c>
      <c r="I35" t="str">
        <f t="shared" si="5"/>
        <v>Risk</v>
      </c>
      <c r="K35" s="43" t="str">
        <f>F38</f>
        <v>Area</v>
      </c>
      <c r="L35" s="28" t="s">
        <v>185</v>
      </c>
      <c r="N35" t="str">
        <f>K35&amp;IF(L35="Y"," [R]","")</f>
        <v>Area [R]</v>
      </c>
    </row>
    <row r="36" spans="1:14" x14ac:dyDescent="0.25">
      <c r="A36" t="s">
        <v>209</v>
      </c>
      <c r="B36" s="28" t="s">
        <v>185</v>
      </c>
      <c r="C36" s="41" t="str">
        <f t="shared" si="2"/>
        <v>KPI Concept</v>
      </c>
      <c r="D36" t="str">
        <f t="shared" si="3"/>
        <v>KPI Concept [R]</v>
      </c>
      <c r="F36" s="43" t="str">
        <f>C40</f>
        <v>Provincial Strategic Objectives</v>
      </c>
      <c r="G36" s="28" t="s">
        <v>185</v>
      </c>
      <c r="H36" s="44"/>
      <c r="I36" t="str">
        <f t="shared" ref="I36:I39" si="9">F36&amp;IF(G36="Y"," [R]","")</f>
        <v>Provincial Strategic Objectives [R]</v>
      </c>
    </row>
    <row r="37" spans="1:14" x14ac:dyDescent="0.25">
      <c r="A37" t="s">
        <v>210</v>
      </c>
      <c r="B37" s="28" t="s">
        <v>185</v>
      </c>
      <c r="C37" s="41" t="str">
        <f t="shared" si="2"/>
        <v>KPI Type</v>
      </c>
      <c r="D37" t="str">
        <f t="shared" si="3"/>
        <v>KPI Type [R]</v>
      </c>
      <c r="F37" s="43" t="str">
        <f>C41</f>
        <v>Ward</v>
      </c>
      <c r="G37" s="28" t="s">
        <v>185</v>
      </c>
      <c r="H37" s="44"/>
      <c r="I37" t="str">
        <f t="shared" si="9"/>
        <v>Ward [R]</v>
      </c>
    </row>
    <row r="38" spans="1:14" x14ac:dyDescent="0.25">
      <c r="A38" t="s">
        <v>100</v>
      </c>
      <c r="B38" s="28"/>
      <c r="C38" s="41" t="str">
        <f t="shared" si="2"/>
        <v>Risk Reg. Ref</v>
      </c>
      <c r="D38" t="str">
        <f t="shared" si="3"/>
        <v>Risk Reg. Ref</v>
      </c>
      <c r="F38" s="43" t="str">
        <f>C42</f>
        <v>Area</v>
      </c>
      <c r="G38" s="28" t="s">
        <v>185</v>
      </c>
      <c r="H38" s="44"/>
      <c r="I38" t="str">
        <f t="shared" si="9"/>
        <v>Area [R]</v>
      </c>
    </row>
    <row r="39" spans="1:14" x14ac:dyDescent="0.25">
      <c r="A39" t="s">
        <v>172</v>
      </c>
      <c r="B39" s="28"/>
      <c r="C39" s="41" t="str">
        <f t="shared" si="2"/>
        <v>Risk</v>
      </c>
      <c r="D39" t="str">
        <f t="shared" si="3"/>
        <v>Risk</v>
      </c>
      <c r="F39" s="43" t="s">
        <v>102</v>
      </c>
      <c r="G39" s="28" t="s">
        <v>185</v>
      </c>
      <c r="H39" s="44"/>
      <c r="I39" t="str">
        <f t="shared" si="9"/>
        <v>KPI Owner [R]</v>
      </c>
    </row>
    <row r="40" spans="1:14" x14ac:dyDescent="0.25">
      <c r="A40" t="s">
        <v>173</v>
      </c>
      <c r="B40" s="28" t="s">
        <v>185</v>
      </c>
      <c r="C40" s="41" t="s">
        <v>335</v>
      </c>
      <c r="D40" t="str">
        <f t="shared" si="3"/>
        <v>Provincial Strategic Objectives [R]</v>
      </c>
      <c r="F40" t="s">
        <v>5</v>
      </c>
      <c r="G40" s="28"/>
      <c r="H40" s="41" t="str">
        <f t="shared" si="4"/>
        <v>Baseline</v>
      </c>
      <c r="I40" t="str">
        <f t="shared" si="5"/>
        <v>Baseline</v>
      </c>
    </row>
    <row r="41" spans="1:14" x14ac:dyDescent="0.25">
      <c r="A41" t="s">
        <v>147</v>
      </c>
      <c r="B41" s="28" t="s">
        <v>185</v>
      </c>
      <c r="C41" s="41" t="str">
        <f t="shared" si="2"/>
        <v>Ward</v>
      </c>
      <c r="D41" t="str">
        <f t="shared" si="3"/>
        <v>Ward [R]</v>
      </c>
      <c r="F41" t="s">
        <v>6</v>
      </c>
      <c r="G41" s="28"/>
      <c r="H41" s="41" t="str">
        <f t="shared" si="4"/>
        <v>POE</v>
      </c>
      <c r="I41" t="str">
        <f t="shared" si="5"/>
        <v>POE</v>
      </c>
    </row>
    <row r="42" spans="1:14" x14ac:dyDescent="0.25">
      <c r="A42" t="s">
        <v>211</v>
      </c>
      <c r="B42" s="28" t="s">
        <v>185</v>
      </c>
      <c r="C42" s="41" t="str">
        <f t="shared" si="2"/>
        <v>Area</v>
      </c>
      <c r="D42" t="str">
        <f t="shared" si="3"/>
        <v>Area [R]</v>
      </c>
      <c r="F42" t="s">
        <v>101</v>
      </c>
      <c r="G42" s="28"/>
      <c r="H42" s="41" t="str">
        <f t="shared" si="4"/>
        <v>Past Year Performance</v>
      </c>
      <c r="I42" t="str">
        <f t="shared" si="5"/>
        <v>Past Year Performance</v>
      </c>
    </row>
    <row r="43" spans="1:14" x14ac:dyDescent="0.25">
      <c r="A43" t="s">
        <v>102</v>
      </c>
      <c r="B43" s="28" t="s">
        <v>185</v>
      </c>
      <c r="C43" s="41" t="str">
        <f t="shared" si="2"/>
        <v>KPI Owner</v>
      </c>
      <c r="D43" t="str">
        <f t="shared" si="3"/>
        <v>KPI Owner [R]</v>
      </c>
      <c r="F43" t="s">
        <v>167</v>
      </c>
      <c r="G43" s="28"/>
      <c r="H43" s="41" t="str">
        <f t="shared" si="4"/>
        <v>MTAS Indicator</v>
      </c>
      <c r="I43" t="str">
        <f t="shared" si="5"/>
        <v>MTAS Indicator</v>
      </c>
    </row>
    <row r="44" spans="1:14" x14ac:dyDescent="0.25">
      <c r="A44" t="s">
        <v>5</v>
      </c>
      <c r="B44" s="28"/>
      <c r="C44" s="41" t="str">
        <f t="shared" si="2"/>
        <v>Baseline</v>
      </c>
      <c r="D44" t="str">
        <f t="shared" si="3"/>
        <v>Baseline</v>
      </c>
      <c r="F44" t="s">
        <v>206</v>
      </c>
      <c r="G44" s="28"/>
      <c r="H44" s="41" t="str">
        <f t="shared" si="4"/>
        <v>New Text 1</v>
      </c>
      <c r="I44" t="str">
        <f t="shared" si="5"/>
        <v>New Text 1</v>
      </c>
    </row>
    <row r="45" spans="1:14" x14ac:dyDescent="0.25">
      <c r="A45" t="s">
        <v>101</v>
      </c>
      <c r="B45" s="28"/>
      <c r="C45" s="41" t="str">
        <f t="shared" si="2"/>
        <v>Past Year Performance</v>
      </c>
      <c r="D45" t="str">
        <f t="shared" si="3"/>
        <v>Past Year Performance</v>
      </c>
      <c r="F45" t="s">
        <v>199</v>
      </c>
      <c r="G45" s="28"/>
      <c r="H45" s="41" t="str">
        <f t="shared" si="4"/>
        <v>New Text 2</v>
      </c>
      <c r="I45" t="str">
        <f t="shared" si="5"/>
        <v>New Text 2</v>
      </c>
    </row>
    <row r="46" spans="1:14" x14ac:dyDescent="0.25">
      <c r="A46" t="s">
        <v>176</v>
      </c>
      <c r="B46" s="28"/>
      <c r="C46" s="41" t="str">
        <f t="shared" si="2"/>
        <v>Performance Standard</v>
      </c>
      <c r="D46" t="str">
        <f t="shared" si="3"/>
        <v>Performance Standard</v>
      </c>
      <c r="F46" t="s">
        <v>200</v>
      </c>
      <c r="G46" s="28"/>
      <c r="H46" s="41" t="str">
        <f t="shared" si="4"/>
        <v>New Text 3</v>
      </c>
      <c r="I46" t="str">
        <f t="shared" si="5"/>
        <v>New Text 3</v>
      </c>
    </row>
    <row r="47" spans="1:14" x14ac:dyDescent="0.25">
      <c r="A47" t="s">
        <v>6</v>
      </c>
      <c r="B47" s="28"/>
      <c r="C47" s="41" t="str">
        <f t="shared" si="2"/>
        <v>POE</v>
      </c>
      <c r="D47" t="str">
        <f t="shared" si="3"/>
        <v>POE</v>
      </c>
      <c r="F47" s="43" t="s">
        <v>170</v>
      </c>
      <c r="G47" s="28" t="s">
        <v>185</v>
      </c>
      <c r="H47" s="44"/>
      <c r="I47" t="str">
        <f t="shared" ref="I47:I49" si="10">F47&amp;IF(G47="Y"," [R]","")</f>
        <v>Reporting Category [R]</v>
      </c>
    </row>
    <row r="48" spans="1:14" x14ac:dyDescent="0.25">
      <c r="A48" t="s">
        <v>167</v>
      </c>
      <c r="B48" s="28"/>
      <c r="C48" s="41" t="str">
        <f t="shared" si="2"/>
        <v>MTAS Indicator</v>
      </c>
      <c r="D48" t="str">
        <f t="shared" si="3"/>
        <v>MTAS Indicator</v>
      </c>
      <c r="F48" s="43" t="str">
        <f>C53</f>
        <v>KPI Calculation Type</v>
      </c>
      <c r="G48" s="28" t="s">
        <v>185</v>
      </c>
      <c r="H48" s="44"/>
      <c r="I48" t="str">
        <f t="shared" si="10"/>
        <v>KPI Calculation Type [R]</v>
      </c>
    </row>
    <row r="49" spans="1:9" x14ac:dyDescent="0.25">
      <c r="A49" t="s">
        <v>206</v>
      </c>
      <c r="B49" s="28"/>
      <c r="C49" s="41" t="str">
        <f t="shared" si="2"/>
        <v>New Text 1</v>
      </c>
      <c r="D49" t="str">
        <f t="shared" si="3"/>
        <v>New Text 1</v>
      </c>
      <c r="F49" s="43" t="str">
        <f>C54</f>
        <v>Target Type</v>
      </c>
      <c r="G49" s="28" t="s">
        <v>185</v>
      </c>
      <c r="H49" s="44"/>
      <c r="I49" t="str">
        <f t="shared" si="10"/>
        <v>Target Type [R]</v>
      </c>
    </row>
    <row r="50" spans="1:9" x14ac:dyDescent="0.25">
      <c r="A50" t="s">
        <v>199</v>
      </c>
      <c r="B50" s="28"/>
      <c r="C50" s="41" t="str">
        <f t="shared" si="2"/>
        <v>New Text 2</v>
      </c>
      <c r="D50" t="str">
        <f t="shared" si="3"/>
        <v>New Text 2</v>
      </c>
      <c r="F50" t="s">
        <v>20</v>
      </c>
      <c r="G50" s="28"/>
      <c r="H50" s="41" t="str">
        <f t="shared" si="4"/>
        <v>Annual Target</v>
      </c>
      <c r="I50" t="str">
        <f t="shared" si="5"/>
        <v>Annual Target</v>
      </c>
    </row>
    <row r="51" spans="1:9" x14ac:dyDescent="0.25">
      <c r="A51" t="s">
        <v>200</v>
      </c>
      <c r="B51" s="28"/>
      <c r="C51" s="41" t="str">
        <f t="shared" si="2"/>
        <v>New Text 3</v>
      </c>
      <c r="D51" t="str">
        <f t="shared" si="3"/>
        <v>New Text 3</v>
      </c>
      <c r="F51" t="s">
        <v>21</v>
      </c>
      <c r="G51" s="28"/>
      <c r="H51" s="41" t="str">
        <f t="shared" si="4"/>
        <v>Revised Target</v>
      </c>
      <c r="I51" t="str">
        <f t="shared" si="5"/>
        <v>Revised Target</v>
      </c>
    </row>
    <row r="52" spans="1:9" x14ac:dyDescent="0.25">
      <c r="A52" t="s">
        <v>170</v>
      </c>
      <c r="B52" s="28" t="s">
        <v>185</v>
      </c>
      <c r="C52" s="41" t="str">
        <f t="shared" si="2"/>
        <v>Reporting Category</v>
      </c>
      <c r="D52" t="str">
        <f t="shared" si="3"/>
        <v>Reporting Category [R]</v>
      </c>
      <c r="G52" s="28"/>
      <c r="H52" s="44"/>
      <c r="I52" s="44"/>
    </row>
    <row r="53" spans="1:9" x14ac:dyDescent="0.25">
      <c r="A53" t="s">
        <v>212</v>
      </c>
      <c r="B53" s="28" t="s">
        <v>185</v>
      </c>
      <c r="C53" s="41" t="str">
        <f t="shared" si="2"/>
        <v>KPI Calculation Type</v>
      </c>
      <c r="D53" t="str">
        <f t="shared" si="3"/>
        <v>KPI Calculation Type [R]</v>
      </c>
      <c r="G53" s="28"/>
      <c r="H53" s="44"/>
      <c r="I53" s="44"/>
    </row>
    <row r="54" spans="1:9" x14ac:dyDescent="0.25">
      <c r="A54" t="s">
        <v>213</v>
      </c>
      <c r="B54" s="28" t="s">
        <v>185</v>
      </c>
      <c r="C54" s="41" t="str">
        <f t="shared" si="2"/>
        <v>Target Type</v>
      </c>
      <c r="D54" t="str">
        <f t="shared" si="3"/>
        <v>Target Type [R]</v>
      </c>
      <c r="G54" s="28"/>
      <c r="H54" s="44"/>
      <c r="I54" s="44"/>
    </row>
    <row r="55" spans="1:9" x14ac:dyDescent="0.25">
      <c r="A55" t="s">
        <v>20</v>
      </c>
      <c r="B55" s="28"/>
      <c r="C55" s="41" t="str">
        <f t="shared" si="2"/>
        <v>Annual Target</v>
      </c>
      <c r="D55" t="str">
        <f t="shared" si="3"/>
        <v>Annual Target</v>
      </c>
      <c r="G55" s="28"/>
      <c r="H55" s="44"/>
      <c r="I55" s="44"/>
    </row>
    <row r="56" spans="1:9" x14ac:dyDescent="0.25">
      <c r="A56" t="s">
        <v>21</v>
      </c>
      <c r="B56" s="28"/>
      <c r="C56" s="41" t="str">
        <f t="shared" si="2"/>
        <v>Revised Target</v>
      </c>
      <c r="D56" t="str">
        <f t="shared" si="3"/>
        <v>Revised Target</v>
      </c>
      <c r="G56" s="28"/>
      <c r="H56" s="44"/>
      <c r="I56" s="44"/>
    </row>
  </sheetData>
  <mergeCells count="4">
    <mergeCell ref="A21:D21"/>
    <mergeCell ref="F21:I21"/>
    <mergeCell ref="K21:N21"/>
    <mergeCell ref="D12:F1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19"/>
  <sheetViews>
    <sheetView topLeftCell="B1" zoomScaleNormal="100" workbookViewId="0">
      <selection activeCell="B2" sqref="B2"/>
    </sheetView>
  </sheetViews>
  <sheetFormatPr defaultColWidth="8.85546875" defaultRowHeight="26.45" customHeight="1" x14ac:dyDescent="0.25"/>
  <cols>
    <col min="1" max="1" width="12.28515625" style="388" hidden="1" customWidth="1"/>
    <col min="2" max="2" width="36.5703125" style="388" customWidth="1"/>
    <col min="3" max="3" width="16.28515625" style="388" hidden="1" customWidth="1"/>
    <col min="4" max="15" width="15.7109375" style="388" customWidth="1"/>
    <col min="16" max="16" width="2.42578125" style="388" customWidth="1"/>
    <col min="17" max="17" width="16" style="410" bestFit="1" customWidth="1"/>
    <col min="18" max="18" width="12.28515625" style="388" customWidth="1"/>
    <col min="19" max="16384" width="8.85546875" style="388"/>
  </cols>
  <sheetData>
    <row r="1" spans="1:17" ht="26.45" customHeight="1" x14ac:dyDescent="0.25">
      <c r="A1" s="383" t="s">
        <v>179</v>
      </c>
      <c r="B1" s="384" t="s">
        <v>919</v>
      </c>
      <c r="C1" s="385" t="s">
        <v>27</v>
      </c>
      <c r="D1" s="385" t="s">
        <v>109</v>
      </c>
      <c r="E1" s="385" t="s">
        <v>110</v>
      </c>
      <c r="F1" s="385" t="s">
        <v>111</v>
      </c>
      <c r="G1" s="385" t="s">
        <v>112</v>
      </c>
      <c r="H1" s="385" t="s">
        <v>113</v>
      </c>
      <c r="I1" s="385" t="s">
        <v>114</v>
      </c>
      <c r="J1" s="385" t="s">
        <v>115</v>
      </c>
      <c r="K1" s="385" t="s">
        <v>116</v>
      </c>
      <c r="L1" s="385" t="s">
        <v>117</v>
      </c>
      <c r="M1" s="385" t="s">
        <v>118</v>
      </c>
      <c r="N1" s="385" t="s">
        <v>119</v>
      </c>
      <c r="O1" s="385" t="s">
        <v>120</v>
      </c>
      <c r="P1" s="386"/>
      <c r="Q1" s="387" t="s">
        <v>121</v>
      </c>
    </row>
    <row r="2" spans="1:17" s="394" customFormat="1" ht="26.45" hidden="1" customHeight="1" x14ac:dyDescent="0.25">
      <c r="A2" s="389" t="s">
        <v>0</v>
      </c>
      <c r="B2" s="390"/>
      <c r="C2" s="391" t="s">
        <v>104</v>
      </c>
      <c r="D2" s="391" t="s">
        <v>83</v>
      </c>
      <c r="E2" s="391" t="s">
        <v>83</v>
      </c>
      <c r="F2" s="391" t="s">
        <v>83</v>
      </c>
      <c r="G2" s="391" t="s">
        <v>83</v>
      </c>
      <c r="H2" s="391" t="s">
        <v>83</v>
      </c>
      <c r="I2" s="391" t="s">
        <v>83</v>
      </c>
      <c r="J2" s="391" t="s">
        <v>83</v>
      </c>
      <c r="K2" s="391" t="s">
        <v>83</v>
      </c>
      <c r="L2" s="391" t="s">
        <v>83</v>
      </c>
      <c r="M2" s="391" t="s">
        <v>83</v>
      </c>
      <c r="N2" s="391" t="s">
        <v>83</v>
      </c>
      <c r="O2" s="391" t="s">
        <v>83</v>
      </c>
      <c r="P2" s="392"/>
      <c r="Q2" s="393"/>
    </row>
    <row r="3" spans="1:17" ht="26.45" customHeight="1" x14ac:dyDescent="0.25">
      <c r="A3" s="395">
        <v>1</v>
      </c>
      <c r="B3" s="396" t="s">
        <v>849</v>
      </c>
      <c r="C3" s="397"/>
      <c r="D3" s="397">
        <v>0</v>
      </c>
      <c r="E3" s="397">
        <v>0</v>
      </c>
      <c r="F3" s="397">
        <v>0</v>
      </c>
      <c r="G3" s="397">
        <v>0</v>
      </c>
      <c r="H3" s="397">
        <v>0</v>
      </c>
      <c r="I3" s="397">
        <v>0</v>
      </c>
      <c r="J3" s="397">
        <v>0</v>
      </c>
      <c r="K3" s="397">
        <v>0</v>
      </c>
      <c r="L3" s="397">
        <v>0</v>
      </c>
      <c r="M3" s="397">
        <v>0</v>
      </c>
      <c r="N3" s="397">
        <v>0</v>
      </c>
      <c r="O3" s="397">
        <v>0</v>
      </c>
      <c r="P3" s="398"/>
      <c r="Q3" s="399">
        <f>SUM(D3:O3)</f>
        <v>0</v>
      </c>
    </row>
    <row r="4" spans="1:17" ht="26.45" customHeight="1" x14ac:dyDescent="0.25">
      <c r="A4" s="400">
        <f>IF(LEN(B4)&gt;0,A3+1,"")</f>
        <v>2</v>
      </c>
      <c r="B4" s="401" t="s">
        <v>850</v>
      </c>
      <c r="C4" s="402"/>
      <c r="D4" s="402">
        <v>60336</v>
      </c>
      <c r="E4" s="402">
        <v>69512</v>
      </c>
      <c r="F4" s="402">
        <v>60868</v>
      </c>
      <c r="G4" s="402">
        <v>52698</v>
      </c>
      <c r="H4" s="402">
        <v>48927</v>
      </c>
      <c r="I4" s="402">
        <v>40774</v>
      </c>
      <c r="J4" s="402">
        <v>49751</v>
      </c>
      <c r="K4" s="402">
        <v>42255</v>
      </c>
      <c r="L4" s="402">
        <v>38526</v>
      </c>
      <c r="M4" s="402">
        <v>51966</v>
      </c>
      <c r="N4" s="402">
        <v>51966</v>
      </c>
      <c r="O4" s="402">
        <v>51965</v>
      </c>
      <c r="P4" s="403"/>
      <c r="Q4" s="404">
        <f t="shared" ref="Q4:Q19" si="0">SUM(D4:O4)</f>
        <v>619544</v>
      </c>
    </row>
    <row r="5" spans="1:17" ht="26.45" customHeight="1" x14ac:dyDescent="0.25">
      <c r="A5" s="400">
        <f t="shared" ref="A5:A18" si="1">IF(LEN(B5)&gt;0,A4+1,"")</f>
        <v>3</v>
      </c>
      <c r="B5" s="401" t="s">
        <v>851</v>
      </c>
      <c r="C5" s="402"/>
      <c r="D5" s="402">
        <v>9111933</v>
      </c>
      <c r="E5" s="402">
        <v>9358455</v>
      </c>
      <c r="F5" s="402">
        <v>8352029</v>
      </c>
      <c r="G5" s="402">
        <v>8443703</v>
      </c>
      <c r="H5" s="402">
        <v>7894151</v>
      </c>
      <c r="I5" s="402">
        <v>8556416</v>
      </c>
      <c r="J5" s="402">
        <v>8481915</v>
      </c>
      <c r="K5" s="402">
        <v>8423204</v>
      </c>
      <c r="L5" s="402">
        <v>7404552</v>
      </c>
      <c r="M5" s="402">
        <v>7471912</v>
      </c>
      <c r="N5" s="402">
        <v>7414553</v>
      </c>
      <c r="O5" s="402">
        <v>7414564</v>
      </c>
      <c r="P5" s="403"/>
      <c r="Q5" s="404">
        <f t="shared" si="0"/>
        <v>98327387</v>
      </c>
    </row>
    <row r="6" spans="1:17" ht="26.45" customHeight="1" x14ac:dyDescent="0.25">
      <c r="A6" s="400">
        <f t="shared" si="1"/>
        <v>4</v>
      </c>
      <c r="B6" s="401" t="s">
        <v>852</v>
      </c>
      <c r="C6" s="402"/>
      <c r="D6" s="402">
        <v>6609</v>
      </c>
      <c r="E6" s="402">
        <v>6439</v>
      </c>
      <c r="F6" s="402">
        <v>6970</v>
      </c>
      <c r="G6" s="402">
        <v>7055</v>
      </c>
      <c r="H6" s="402">
        <v>6885</v>
      </c>
      <c r="I6" s="402">
        <v>6885</v>
      </c>
      <c r="J6" s="402">
        <v>6970</v>
      </c>
      <c r="K6" s="402">
        <v>6970</v>
      </c>
      <c r="L6" s="402">
        <v>7055</v>
      </c>
      <c r="M6" s="402">
        <v>6970</v>
      </c>
      <c r="N6" s="402">
        <v>6970</v>
      </c>
      <c r="O6" s="402">
        <v>6970</v>
      </c>
      <c r="P6" s="403"/>
      <c r="Q6" s="404">
        <f t="shared" si="0"/>
        <v>82748</v>
      </c>
    </row>
    <row r="7" spans="1:17" ht="26.45" customHeight="1" x14ac:dyDescent="0.25">
      <c r="A7" s="400">
        <f t="shared" si="1"/>
        <v>5</v>
      </c>
      <c r="B7" s="401" t="s">
        <v>853</v>
      </c>
      <c r="C7" s="402"/>
      <c r="D7" s="402">
        <v>5031</v>
      </c>
      <c r="E7" s="402">
        <v>4891</v>
      </c>
      <c r="F7" s="402">
        <v>4961</v>
      </c>
      <c r="G7" s="402">
        <v>5033</v>
      </c>
      <c r="H7" s="402">
        <v>4891</v>
      </c>
      <c r="I7" s="402">
        <v>4891</v>
      </c>
      <c r="J7" s="402">
        <v>4961</v>
      </c>
      <c r="K7" s="402">
        <v>4961</v>
      </c>
      <c r="L7" s="402">
        <v>5031</v>
      </c>
      <c r="M7" s="402">
        <v>4961</v>
      </c>
      <c r="N7" s="402">
        <v>4961</v>
      </c>
      <c r="O7" s="402">
        <v>4962</v>
      </c>
      <c r="P7" s="403"/>
      <c r="Q7" s="404">
        <f t="shared" si="0"/>
        <v>59535</v>
      </c>
    </row>
    <row r="8" spans="1:17" ht="26.45" customHeight="1" x14ac:dyDescent="0.25">
      <c r="A8" s="400">
        <f t="shared" si="1"/>
        <v>6</v>
      </c>
      <c r="B8" s="401" t="s">
        <v>854</v>
      </c>
      <c r="C8" s="402"/>
      <c r="D8" s="402">
        <v>0</v>
      </c>
      <c r="E8" s="402">
        <v>0</v>
      </c>
      <c r="F8" s="402">
        <v>0</v>
      </c>
      <c r="G8" s="402">
        <v>0</v>
      </c>
      <c r="H8" s="402">
        <v>0</v>
      </c>
      <c r="I8" s="402">
        <v>0</v>
      </c>
      <c r="J8" s="402">
        <v>0</v>
      </c>
      <c r="K8" s="402">
        <v>0</v>
      </c>
      <c r="L8" s="402">
        <v>0</v>
      </c>
      <c r="M8" s="402">
        <v>0</v>
      </c>
      <c r="N8" s="402">
        <v>0</v>
      </c>
      <c r="O8" s="402">
        <v>0</v>
      </c>
      <c r="P8" s="403"/>
      <c r="Q8" s="404">
        <f t="shared" si="0"/>
        <v>0</v>
      </c>
    </row>
    <row r="9" spans="1:17" ht="26.45" customHeight="1" x14ac:dyDescent="0.25">
      <c r="A9" s="400">
        <f t="shared" si="1"/>
        <v>7</v>
      </c>
      <c r="B9" s="401" t="s">
        <v>855</v>
      </c>
      <c r="C9" s="402"/>
      <c r="D9" s="402">
        <v>213116</v>
      </c>
      <c r="E9" s="402">
        <v>213559</v>
      </c>
      <c r="F9" s="402">
        <v>247481</v>
      </c>
      <c r="G9" s="402">
        <v>224231</v>
      </c>
      <c r="H9" s="402">
        <v>213693</v>
      </c>
      <c r="I9" s="402">
        <v>128831</v>
      </c>
      <c r="J9" s="402">
        <v>294860</v>
      </c>
      <c r="K9" s="402">
        <v>219969</v>
      </c>
      <c r="L9" s="402">
        <v>240269</v>
      </c>
      <c r="M9" s="402">
        <v>226145</v>
      </c>
      <c r="N9" s="402">
        <v>226145</v>
      </c>
      <c r="O9" s="402">
        <v>226153</v>
      </c>
      <c r="P9" s="403"/>
      <c r="Q9" s="404">
        <f t="shared" si="0"/>
        <v>2674452</v>
      </c>
    </row>
    <row r="10" spans="1:17" ht="26.45" customHeight="1" x14ac:dyDescent="0.25">
      <c r="A10" s="400">
        <f t="shared" si="1"/>
        <v>8</v>
      </c>
      <c r="B10" s="401" t="s">
        <v>856</v>
      </c>
      <c r="C10" s="402"/>
      <c r="D10" s="402">
        <v>310047</v>
      </c>
      <c r="E10" s="402">
        <v>59504</v>
      </c>
      <c r="F10" s="402">
        <v>462138</v>
      </c>
      <c r="G10" s="402">
        <v>285529</v>
      </c>
      <c r="H10" s="402">
        <v>230360</v>
      </c>
      <c r="I10" s="402">
        <v>1483761</v>
      </c>
      <c r="J10" s="402">
        <v>2101042</v>
      </c>
      <c r="K10" s="402">
        <v>187117</v>
      </c>
      <c r="L10" s="402">
        <v>187678</v>
      </c>
      <c r="M10" s="402">
        <v>3591570</v>
      </c>
      <c r="N10" s="402">
        <v>207602</v>
      </c>
      <c r="O10" s="402">
        <v>8923456</v>
      </c>
      <c r="P10" s="403"/>
      <c r="Q10" s="404">
        <f t="shared" si="0"/>
        <v>18029804</v>
      </c>
    </row>
    <row r="11" spans="1:17" ht="26.45" customHeight="1" x14ac:dyDescent="0.25">
      <c r="A11" s="400">
        <f t="shared" si="1"/>
        <v>9</v>
      </c>
      <c r="B11" s="401" t="s">
        <v>857</v>
      </c>
      <c r="C11" s="402"/>
      <c r="D11" s="402">
        <v>1271</v>
      </c>
      <c r="E11" s="402">
        <v>2221</v>
      </c>
      <c r="F11" s="402">
        <v>5353</v>
      </c>
      <c r="G11" s="402">
        <v>2205</v>
      </c>
      <c r="H11" s="402">
        <v>2123</v>
      </c>
      <c r="I11" s="402">
        <v>2194</v>
      </c>
      <c r="J11" s="402">
        <v>2373</v>
      </c>
      <c r="K11" s="402">
        <v>2397</v>
      </c>
      <c r="L11" s="402">
        <v>5132</v>
      </c>
      <c r="M11" s="402">
        <v>2589</v>
      </c>
      <c r="N11" s="402">
        <v>2589</v>
      </c>
      <c r="O11" s="402">
        <v>2590</v>
      </c>
      <c r="P11" s="403"/>
      <c r="Q11" s="404">
        <f t="shared" si="0"/>
        <v>33037</v>
      </c>
    </row>
    <row r="12" spans="1:17" ht="26.45" customHeight="1" x14ac:dyDescent="0.25">
      <c r="A12" s="400">
        <f t="shared" si="1"/>
        <v>10</v>
      </c>
      <c r="B12" s="401" t="s">
        <v>858</v>
      </c>
      <c r="C12" s="402"/>
      <c r="D12" s="402">
        <v>0</v>
      </c>
      <c r="E12" s="402">
        <v>0</v>
      </c>
      <c r="F12" s="402">
        <v>0</v>
      </c>
      <c r="G12" s="402">
        <v>0</v>
      </c>
      <c r="H12" s="402">
        <v>0</v>
      </c>
      <c r="I12" s="402">
        <v>0</v>
      </c>
      <c r="J12" s="402">
        <v>0</v>
      </c>
      <c r="K12" s="402">
        <v>0</v>
      </c>
      <c r="L12" s="402">
        <v>0</v>
      </c>
      <c r="M12" s="402">
        <v>0</v>
      </c>
      <c r="N12" s="402">
        <v>0</v>
      </c>
      <c r="O12" s="402">
        <v>0</v>
      </c>
      <c r="P12" s="403"/>
      <c r="Q12" s="404">
        <f t="shared" si="0"/>
        <v>0</v>
      </c>
    </row>
    <row r="13" spans="1:17" ht="26.45" customHeight="1" x14ac:dyDescent="0.25">
      <c r="A13" s="400">
        <f t="shared" si="1"/>
        <v>11</v>
      </c>
      <c r="B13" s="401" t="s">
        <v>859</v>
      </c>
      <c r="C13" s="402"/>
      <c r="D13" s="402">
        <v>8</v>
      </c>
      <c r="E13" s="402">
        <v>0</v>
      </c>
      <c r="F13" s="402">
        <v>0</v>
      </c>
      <c r="G13" s="402">
        <v>513</v>
      </c>
      <c r="H13" s="402">
        <v>176</v>
      </c>
      <c r="I13" s="402">
        <v>157</v>
      </c>
      <c r="J13" s="402">
        <v>200</v>
      </c>
      <c r="K13" s="402">
        <v>100</v>
      </c>
      <c r="L13" s="402">
        <v>200</v>
      </c>
      <c r="M13" s="402">
        <v>50</v>
      </c>
      <c r="N13" s="402">
        <v>0</v>
      </c>
      <c r="O13" s="402">
        <v>0</v>
      </c>
      <c r="P13" s="403"/>
      <c r="Q13" s="404">
        <f t="shared" si="0"/>
        <v>1404</v>
      </c>
    </row>
    <row r="14" spans="1:17" ht="26.45" customHeight="1" x14ac:dyDescent="0.25">
      <c r="A14" s="400">
        <f t="shared" si="1"/>
        <v>12</v>
      </c>
      <c r="B14" s="401" t="s">
        <v>860</v>
      </c>
      <c r="C14" s="402"/>
      <c r="D14" s="402">
        <v>10131</v>
      </c>
      <c r="E14" s="402">
        <v>15672</v>
      </c>
      <c r="F14" s="402">
        <v>14665</v>
      </c>
      <c r="G14" s="402">
        <v>34319</v>
      </c>
      <c r="H14" s="402">
        <v>39780</v>
      </c>
      <c r="I14" s="402">
        <v>11673</v>
      </c>
      <c r="J14" s="402">
        <v>13914</v>
      </c>
      <c r="K14" s="402">
        <v>39665</v>
      </c>
      <c r="L14" s="402">
        <v>95768</v>
      </c>
      <c r="M14" s="402">
        <v>11338</v>
      </c>
      <c r="N14" s="402">
        <v>11338</v>
      </c>
      <c r="O14" s="402">
        <v>11337</v>
      </c>
      <c r="P14" s="403"/>
      <c r="Q14" s="404">
        <f t="shared" si="0"/>
        <v>309600</v>
      </c>
    </row>
    <row r="15" spans="1:17" ht="26.45" customHeight="1" x14ac:dyDescent="0.25">
      <c r="A15" s="400">
        <f t="shared" si="1"/>
        <v>13</v>
      </c>
      <c r="B15" s="401" t="s">
        <v>861</v>
      </c>
      <c r="C15" s="402"/>
      <c r="D15" s="402">
        <v>10114994</v>
      </c>
      <c r="E15" s="402">
        <v>8804672</v>
      </c>
      <c r="F15" s="402">
        <v>11628144</v>
      </c>
      <c r="G15" s="402">
        <v>14443361</v>
      </c>
      <c r="H15" s="402">
        <v>16158295</v>
      </c>
      <c r="I15" s="402">
        <v>12755080</v>
      </c>
      <c r="J15" s="402">
        <v>11894270</v>
      </c>
      <c r="K15" s="402">
        <v>16733581</v>
      </c>
      <c r="L15" s="402">
        <v>16733581</v>
      </c>
      <c r="M15" s="402">
        <v>475630</v>
      </c>
      <c r="N15" s="402">
        <v>873152</v>
      </c>
      <c r="O15" s="402">
        <v>4045240</v>
      </c>
      <c r="P15" s="403"/>
      <c r="Q15" s="404">
        <f t="shared" si="0"/>
        <v>124660000</v>
      </c>
    </row>
    <row r="16" spans="1:17" ht="26.45" customHeight="1" x14ac:dyDescent="0.25">
      <c r="A16" s="400">
        <f t="shared" si="1"/>
        <v>14</v>
      </c>
      <c r="B16" s="401" t="s">
        <v>862</v>
      </c>
      <c r="C16" s="402"/>
      <c r="D16" s="402">
        <v>37175060</v>
      </c>
      <c r="E16" s="402">
        <v>-61464</v>
      </c>
      <c r="F16" s="402">
        <v>179033</v>
      </c>
      <c r="G16" s="402">
        <v>186634</v>
      </c>
      <c r="H16" s="402">
        <v>391768</v>
      </c>
      <c r="I16" s="402">
        <v>29668335</v>
      </c>
      <c r="J16" s="402">
        <v>179327</v>
      </c>
      <c r="K16" s="402">
        <v>211147</v>
      </c>
      <c r="L16" s="402">
        <v>22244931</v>
      </c>
      <c r="M16" s="402">
        <v>175634</v>
      </c>
      <c r="N16" s="402">
        <v>335634</v>
      </c>
      <c r="O16" s="402">
        <v>4483961</v>
      </c>
      <c r="P16" s="403"/>
      <c r="Q16" s="404">
        <f t="shared" si="0"/>
        <v>95170000</v>
      </c>
    </row>
    <row r="17" spans="1:17" ht="26.45" customHeight="1" x14ac:dyDescent="0.25">
      <c r="A17" s="400">
        <f t="shared" si="1"/>
        <v>15</v>
      </c>
      <c r="B17" s="401" t="s">
        <v>863</v>
      </c>
      <c r="C17" s="402"/>
      <c r="D17" s="402">
        <v>513364</v>
      </c>
      <c r="E17" s="402">
        <v>298333</v>
      </c>
      <c r="F17" s="402">
        <v>246078</v>
      </c>
      <c r="G17" s="402">
        <v>313842</v>
      </c>
      <c r="H17" s="402">
        <v>246111</v>
      </c>
      <c r="I17" s="402">
        <v>241724</v>
      </c>
      <c r="J17" s="402">
        <v>697991</v>
      </c>
      <c r="K17" s="402">
        <v>307965</v>
      </c>
      <c r="L17" s="402">
        <v>367362</v>
      </c>
      <c r="M17" s="402">
        <v>393919</v>
      </c>
      <c r="N17" s="402">
        <v>354205</v>
      </c>
      <c r="O17" s="402">
        <v>11230151.999999989</v>
      </c>
      <c r="P17" s="403"/>
      <c r="Q17" s="404">
        <f t="shared" si="0"/>
        <v>15211045.999999989</v>
      </c>
    </row>
    <row r="18" spans="1:17" ht="26.45" customHeight="1" x14ac:dyDescent="0.25">
      <c r="A18" s="400">
        <f t="shared" si="1"/>
        <v>16</v>
      </c>
      <c r="B18" s="401" t="s">
        <v>864</v>
      </c>
      <c r="C18" s="402"/>
      <c r="D18" s="402">
        <v>0</v>
      </c>
      <c r="E18" s="402">
        <v>0</v>
      </c>
      <c r="F18" s="402">
        <v>0</v>
      </c>
      <c r="G18" s="402">
        <v>0</v>
      </c>
      <c r="H18" s="402">
        <v>0</v>
      </c>
      <c r="I18" s="402">
        <v>0</v>
      </c>
      <c r="J18" s="402">
        <v>0</v>
      </c>
      <c r="K18" s="402">
        <v>0</v>
      </c>
      <c r="L18" s="402">
        <v>0</v>
      </c>
      <c r="M18" s="402">
        <v>0</v>
      </c>
      <c r="N18" s="402">
        <v>0</v>
      </c>
      <c r="O18" s="402">
        <v>0</v>
      </c>
      <c r="P18" s="403"/>
      <c r="Q18" s="404">
        <f t="shared" si="0"/>
        <v>0</v>
      </c>
    </row>
    <row r="19" spans="1:17" s="409" customFormat="1" ht="26.45" customHeight="1" x14ac:dyDescent="0.25">
      <c r="A19" s="405" t="s">
        <v>122</v>
      </c>
      <c r="B19" s="406" t="s">
        <v>121</v>
      </c>
      <c r="C19" s="407"/>
      <c r="D19" s="407">
        <f t="shared" ref="D19:O19" si="2">SUM(D3:D18)</f>
        <v>57521900</v>
      </c>
      <c r="E19" s="407">
        <f t="shared" si="2"/>
        <v>18771794</v>
      </c>
      <c r="F19" s="407">
        <f t="shared" si="2"/>
        <v>21207720</v>
      </c>
      <c r="G19" s="407">
        <f t="shared" si="2"/>
        <v>23999123</v>
      </c>
      <c r="H19" s="407">
        <f t="shared" si="2"/>
        <v>25237160</v>
      </c>
      <c r="I19" s="407">
        <f t="shared" si="2"/>
        <v>52900721</v>
      </c>
      <c r="J19" s="407">
        <f t="shared" si="2"/>
        <v>23727574</v>
      </c>
      <c r="K19" s="407">
        <f t="shared" si="2"/>
        <v>26179331</v>
      </c>
      <c r="L19" s="407">
        <f t="shared" si="2"/>
        <v>47330085</v>
      </c>
      <c r="M19" s="407">
        <f t="shared" si="2"/>
        <v>12412684</v>
      </c>
      <c r="N19" s="407">
        <f t="shared" si="2"/>
        <v>9489115</v>
      </c>
      <c r="O19" s="407">
        <f t="shared" si="2"/>
        <v>36401349.999999985</v>
      </c>
      <c r="P19" s="408"/>
      <c r="Q19" s="405">
        <f t="shared" si="0"/>
        <v>355178557</v>
      </c>
    </row>
  </sheetData>
  <customSheetViews>
    <customSheetView guid="{9B5DD690-7A96-4FFD-9A82-5184EBE7D9A3}" scale="70" fitToPage="1">
      <pane xSplit="1" ySplit="2" topLeftCell="B3" activePane="bottomRight" state="frozen"/>
      <selection pane="bottomRight" activeCell="B3" sqref="B3"/>
      <pageMargins left="0.19685039370078741" right="0.19685039370078741" top="0.59055118110236227" bottom="0.59055118110236227" header="0.51181102362204722" footer="0.51181102362204722"/>
      <pageSetup paperSize="9" scale="52" fitToHeight="16" orientation="landscape" r:id="rId1"/>
    </customSheetView>
  </customSheetViews>
  <pageMargins left="0.196850393700787" right="0.196850393700787" top="0.70416666666666705" bottom="0.59055118110236204" header="0.511811023622047" footer="0.511811023622047"/>
  <pageSetup paperSize="9" scale="59" fitToHeight="16" orientation="landscape" r:id="rId2"/>
  <headerFooter>
    <oddHeader>&amp;C&amp;"-,Bold"Revenue by Source for the 2018/19 financial year</oddHeader>
    <oddFooter>&amp;R&amp;"-,Bold"Page|&amp;P/&amp;N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51"/>
  <sheetViews>
    <sheetView topLeftCell="BJ1" workbookViewId="0">
      <selection activeCell="BO21" sqref="BO21"/>
    </sheetView>
  </sheetViews>
  <sheetFormatPr defaultColWidth="9.140625" defaultRowHeight="15" x14ac:dyDescent="0.25"/>
  <cols>
    <col min="1" max="1" width="2.5703125" style="11" customWidth="1"/>
    <col min="2" max="2" width="9.140625" style="11"/>
    <col min="3" max="3" width="19.28515625" style="11" bestFit="1" customWidth="1"/>
    <col min="4" max="4" width="19.28515625" style="10" customWidth="1"/>
    <col min="5" max="5" width="1.5703125" style="10" customWidth="1"/>
    <col min="6" max="6" width="25.7109375" style="11" customWidth="1"/>
    <col min="7" max="7" width="8.42578125" style="11" customWidth="1"/>
    <col min="8" max="8" width="31.42578125" style="11" customWidth="1"/>
    <col min="9" max="9" width="7.85546875" style="13" bestFit="1" customWidth="1"/>
    <col min="10" max="12" width="9.140625" style="11"/>
    <col min="13" max="13" width="20.7109375" style="11" customWidth="1"/>
    <col min="14" max="15" width="9.140625" style="11"/>
    <col min="16" max="16" width="31.85546875" style="11" customWidth="1"/>
    <col min="17" max="17" width="4" style="11" bestFit="1" customWidth="1"/>
    <col min="18" max="18" width="6.140625" style="13" bestFit="1" customWidth="1"/>
    <col min="19" max="19" width="35.42578125" style="11" customWidth="1"/>
    <col min="20" max="20" width="12.5703125" style="53" customWidth="1"/>
    <col min="21" max="21" width="4" style="11" bestFit="1" customWidth="1"/>
    <col min="22" max="22" width="9.140625" style="11"/>
    <col min="23" max="23" width="24.5703125" style="11" customWidth="1"/>
    <col min="24" max="26" width="9.140625" style="11"/>
    <col min="27" max="27" width="19.85546875" style="11" customWidth="1"/>
    <col min="28" max="30" width="9.140625" style="11"/>
    <col min="31" max="31" width="56.5703125" style="11" customWidth="1"/>
    <col min="32" max="33" width="9.140625" style="11"/>
    <col min="34" max="34" width="24.7109375" style="11" customWidth="1"/>
    <col min="35" max="36" width="9.140625" style="11"/>
    <col min="37" max="37" width="79" style="11" customWidth="1"/>
    <col min="38" max="39" width="9.140625" style="11"/>
    <col min="40" max="40" width="24.7109375" style="11" customWidth="1"/>
    <col min="41" max="42" width="24.7109375" style="11" hidden="1" customWidth="1"/>
    <col min="43" max="44" width="9.140625" style="11"/>
    <col min="45" max="45" width="24.7109375" style="11" customWidth="1"/>
    <col min="46" max="47" width="9.140625" style="11"/>
    <col min="48" max="48" width="19.85546875" style="11" customWidth="1"/>
    <col min="49" max="51" width="9.140625" style="11"/>
    <col min="52" max="52" width="19.85546875" style="11" customWidth="1"/>
    <col min="53" max="55" width="9.140625" style="11"/>
    <col min="56" max="56" width="19.85546875" style="11" customWidth="1"/>
    <col min="57" max="60" width="9.140625" style="11"/>
    <col min="61" max="61" width="24.5703125" style="11" customWidth="1"/>
    <col min="62" max="62" width="9.140625" style="57"/>
    <col min="63" max="64" width="9.140625" style="11"/>
    <col min="65" max="65" width="24.5703125" style="11" customWidth="1"/>
    <col min="66" max="66" width="9.140625" style="11"/>
    <col min="67" max="67" width="24.7109375" style="11" customWidth="1"/>
    <col min="68" max="68" width="9.140625" style="11"/>
    <col min="69" max="69" width="19.85546875" style="11" customWidth="1"/>
    <col min="70" max="70" width="9.140625" style="11"/>
    <col min="71" max="71" width="64" style="11" customWidth="1"/>
    <col min="72" max="72" width="9.140625" style="11"/>
    <col min="73" max="73" width="19.85546875" style="11" customWidth="1"/>
    <col min="74" max="74" width="5.5703125" style="11" bestFit="1" customWidth="1"/>
    <col min="75" max="76" width="9.140625" style="11"/>
    <col min="77" max="77" width="24.7109375" style="11" customWidth="1"/>
    <col min="78" max="79" width="9.140625" style="11"/>
    <col min="80" max="80" width="24.7109375" style="11" customWidth="1"/>
    <col min="81" max="16384" width="9.140625" style="11"/>
  </cols>
  <sheetData>
    <row r="1" spans="1:81" x14ac:dyDescent="0.25">
      <c r="A1" s="415" t="str">
        <f>top_dirid</f>
        <v>Directorate [R]</v>
      </c>
      <c r="B1" s="415"/>
      <c r="C1" s="415"/>
      <c r="D1" s="15" t="s">
        <v>136</v>
      </c>
      <c r="E1" s="16" t="str">
        <f>kpi_subid</f>
        <v>Sub-Directorate [R]</v>
      </c>
      <c r="F1" s="16"/>
      <c r="G1" s="16"/>
      <c r="H1" s="16"/>
      <c r="I1" s="17"/>
      <c r="J1" s="16"/>
      <c r="M1" s="18" t="str">
        <f>kpi_gfsid</f>
        <v>Function [R]</v>
      </c>
      <c r="N1" s="18"/>
      <c r="O1" s="47"/>
      <c r="P1" s="18" t="str">
        <f>kpi_gfsid</f>
        <v>Function [R]</v>
      </c>
      <c r="Q1" s="18"/>
      <c r="R1" s="48"/>
      <c r="S1" s="18"/>
      <c r="T1" s="50"/>
      <c r="U1" s="18"/>
      <c r="W1" s="19" t="str">
        <f>kpi_munkpaid</f>
        <v>Municipal KPA [R]</v>
      </c>
      <c r="X1" s="19"/>
      <c r="Y1" s="19"/>
      <c r="AA1" s="20" t="str">
        <f>kpi_natkpaid</f>
        <v>National KPA [R]</v>
      </c>
      <c r="AB1" s="20"/>
      <c r="AC1" s="20"/>
      <c r="AE1" s="18" t="str">
        <f>kpi_ndpid</f>
        <v>NDP Objective [R]</v>
      </c>
      <c r="AF1" s="18"/>
      <c r="AH1" s="16" t="str">
        <f>kpi_pdoid</f>
        <v>Pre-determined Objectives [R]</v>
      </c>
      <c r="AI1" s="16"/>
      <c r="AK1" s="21" t="str">
        <f>kpi_natoutcomeid</f>
        <v>National Outcome [R]</v>
      </c>
      <c r="AL1" s="21"/>
      <c r="AN1" s="14" t="str">
        <f>kpi_idpid</f>
        <v>IDP Objective [R]</v>
      </c>
      <c r="AO1" s="14"/>
      <c r="AP1" s="14"/>
      <c r="AQ1" s="14" t="s">
        <v>218</v>
      </c>
      <c r="AS1" s="14" t="str">
        <f>top_idpid</f>
        <v>IDP Objective [R]</v>
      </c>
      <c r="AT1" s="14" t="s">
        <v>219</v>
      </c>
      <c r="AV1" s="16" t="str">
        <f>kpi_conceptid</f>
        <v>KPI Concept [R]</v>
      </c>
      <c r="AW1" s="16"/>
      <c r="AX1" s="16"/>
      <c r="AZ1" s="18" t="str">
        <f>kpi_typeid</f>
        <v>KPI Type [R]</v>
      </c>
      <c r="BA1" s="18"/>
      <c r="BB1" s="18"/>
      <c r="BD1" s="19" t="str">
        <f>kpi_riskratingid</f>
        <v>Provincial Strategic Objectives [R]</v>
      </c>
      <c r="BE1" s="19"/>
      <c r="BF1" s="19"/>
      <c r="BH1" s="20" t="str">
        <f>kpi_wards</f>
        <v>Ward [R]</v>
      </c>
      <c r="BI1" s="20"/>
      <c r="BJ1" s="56"/>
      <c r="BL1" s="21" t="str">
        <f>kpi_area</f>
        <v>Area [R]</v>
      </c>
      <c r="BM1" s="21"/>
      <c r="BO1" s="14" t="str">
        <f>kpi_ownerid</f>
        <v>KPI Owner [R]</v>
      </c>
      <c r="BQ1" s="16" t="str">
        <f>kpi_calctype</f>
        <v>KPI Calculation Type [R]</v>
      </c>
      <c r="BR1" s="16"/>
      <c r="BS1" s="16"/>
      <c r="BU1" s="18" t="str">
        <f>kpi_targettype</f>
        <v>Target Type [R]</v>
      </c>
      <c r="BV1" s="18"/>
      <c r="BW1" s="18"/>
      <c r="BY1" s="19" t="str">
        <f>cap_fundsrc</f>
        <v>Funding source [R]</v>
      </c>
      <c r="BZ1" s="19"/>
      <c r="CB1" s="21" t="str">
        <f>kpi_repcate</f>
        <v>Reporting Category [R]</v>
      </c>
      <c r="CC1" s="21"/>
    </row>
    <row r="2" spans="1:81" x14ac:dyDescent="0.25">
      <c r="A2" s="22"/>
      <c r="B2" s="23" t="s">
        <v>33</v>
      </c>
      <c r="C2" s="23" t="str">
        <f>top_dirid</f>
        <v>Directorate [R]</v>
      </c>
      <c r="D2" s="24"/>
      <c r="E2" s="24"/>
      <c r="F2" s="23" t="str">
        <f>top_dirid</f>
        <v>Directorate [R]</v>
      </c>
      <c r="G2" s="23" t="s">
        <v>32</v>
      </c>
      <c r="H2" s="23" t="str">
        <f>kpi_subid</f>
        <v>Sub-Directorate [R]</v>
      </c>
      <c r="I2" s="23" t="s">
        <v>31</v>
      </c>
      <c r="J2" s="23" t="s">
        <v>34</v>
      </c>
      <c r="M2" s="23" t="s">
        <v>203</v>
      </c>
      <c r="N2" s="23" t="s">
        <v>0</v>
      </c>
      <c r="O2" s="23"/>
      <c r="P2" s="23" t="s">
        <v>203</v>
      </c>
      <c r="Q2" s="23" t="s">
        <v>0</v>
      </c>
      <c r="R2" s="23" t="s">
        <v>235</v>
      </c>
      <c r="S2" s="23" t="s">
        <v>222</v>
      </c>
      <c r="T2" s="51" t="s">
        <v>94</v>
      </c>
      <c r="U2" s="23" t="s">
        <v>34</v>
      </c>
      <c r="W2" s="23" t="s">
        <v>174</v>
      </c>
      <c r="X2" s="23" t="s">
        <v>36</v>
      </c>
      <c r="Y2" s="23" t="s">
        <v>35</v>
      </c>
      <c r="AA2" s="23" t="s">
        <v>17</v>
      </c>
      <c r="AB2" s="23" t="s">
        <v>36</v>
      </c>
      <c r="AC2" s="23" t="s">
        <v>37</v>
      </c>
      <c r="AE2" s="23" t="s">
        <v>163</v>
      </c>
      <c r="AF2" s="23" t="s">
        <v>164</v>
      </c>
      <c r="AH2" s="23" t="s">
        <v>165</v>
      </c>
      <c r="AI2" s="23" t="s">
        <v>166</v>
      </c>
      <c r="AK2" s="23" t="s">
        <v>48</v>
      </c>
      <c r="AL2" s="23" t="s">
        <v>86</v>
      </c>
      <c r="AN2" s="23" t="s">
        <v>137</v>
      </c>
      <c r="AO2" s="23" t="s">
        <v>18</v>
      </c>
      <c r="AP2" s="23" t="s">
        <v>17</v>
      </c>
      <c r="AQ2" s="23" t="s">
        <v>96</v>
      </c>
      <c r="AS2" s="23" t="s">
        <v>137</v>
      </c>
      <c r="AT2" s="23" t="s">
        <v>49</v>
      </c>
      <c r="AV2" s="23" t="s">
        <v>51</v>
      </c>
      <c r="AW2" s="23" t="s">
        <v>36</v>
      </c>
      <c r="AX2" s="23" t="s">
        <v>50</v>
      </c>
      <c r="AZ2" s="23" t="s">
        <v>3</v>
      </c>
      <c r="BA2" s="23" t="s">
        <v>36</v>
      </c>
      <c r="BB2" s="23" t="s">
        <v>59</v>
      </c>
      <c r="BD2" s="23" t="s">
        <v>66</v>
      </c>
      <c r="BE2" s="23" t="s">
        <v>36</v>
      </c>
      <c r="BF2" s="23" t="s">
        <v>65</v>
      </c>
      <c r="BH2" s="23" t="s">
        <v>178</v>
      </c>
      <c r="BI2" s="23" t="s">
        <v>69</v>
      </c>
      <c r="BJ2" s="26" t="s">
        <v>67</v>
      </c>
      <c r="BL2" s="23" t="s">
        <v>178</v>
      </c>
      <c r="BM2" s="23" t="s">
        <v>70</v>
      </c>
      <c r="BO2" s="23" t="s">
        <v>71</v>
      </c>
      <c r="BQ2" s="23" t="s">
        <v>72</v>
      </c>
      <c r="BR2" s="23" t="s">
        <v>36</v>
      </c>
      <c r="BS2" s="23" t="s">
        <v>73</v>
      </c>
      <c r="BU2" s="23" t="s">
        <v>72</v>
      </c>
      <c r="BV2" s="23" t="s">
        <v>36</v>
      </c>
      <c r="BW2" s="23" t="s">
        <v>0</v>
      </c>
      <c r="BY2" s="23" t="s">
        <v>88</v>
      </c>
      <c r="BZ2" s="23" t="s">
        <v>89</v>
      </c>
      <c r="CB2" s="23" t="s">
        <v>170</v>
      </c>
      <c r="CC2" s="23" t="s">
        <v>171</v>
      </c>
    </row>
    <row r="3" spans="1:81" x14ac:dyDescent="0.25">
      <c r="A3" s="22" t="str">
        <f t="shared" ref="A3:A26" si="0">IF(B3&gt;0,C3,"")</f>
        <v>Office of the Municipal Manager</v>
      </c>
      <c r="B3" s="10">
        <v>1</v>
      </c>
      <c r="C3" s="2" t="s">
        <v>358</v>
      </c>
      <c r="D3" s="25"/>
      <c r="E3" s="12" t="str">
        <f>IF(LEN(H3)&gt;0,H3,"")</f>
        <v>Municipal Manager</v>
      </c>
      <c r="F3" s="30" t="s">
        <v>358</v>
      </c>
      <c r="G3" s="11">
        <f>IF(LEN(H3)&gt;0,VLOOKUP(F3,$A$3:$B$26,2,FALSE),"")</f>
        <v>1</v>
      </c>
      <c r="H3" s="29" t="s">
        <v>362</v>
      </c>
      <c r="I3" s="32" t="s">
        <v>185</v>
      </c>
      <c r="J3" s="11">
        <v>1</v>
      </c>
      <c r="M3" s="1" t="s">
        <v>223</v>
      </c>
      <c r="N3" s="10">
        <v>1</v>
      </c>
      <c r="O3" s="10"/>
      <c r="P3" s="10" t="s">
        <v>223</v>
      </c>
      <c r="Q3" s="10">
        <f>VLOOKUP(P3,M:N,2,FALSE)</f>
        <v>1</v>
      </c>
      <c r="R3" s="49" t="s">
        <v>185</v>
      </c>
      <c r="S3" t="s">
        <v>236</v>
      </c>
      <c r="T3" s="52" t="str">
        <f>P3&amp;IF(R3="Y"," [Core function] "," [Non-core Function]")&amp;" - "&amp;S3</f>
        <v>Community and Social Services [Core function]  - Aged Care</v>
      </c>
      <c r="U3" s="10">
        <v>20</v>
      </c>
      <c r="W3" s="11" t="s">
        <v>169</v>
      </c>
      <c r="X3" s="11" t="s">
        <v>16</v>
      </c>
      <c r="Y3" s="11">
        <v>1</v>
      </c>
      <c r="AA3" s="10" t="s">
        <v>38</v>
      </c>
      <c r="AB3" s="10" t="s">
        <v>43</v>
      </c>
      <c r="AC3" s="10">
        <v>1</v>
      </c>
      <c r="AE3" s="37" t="s">
        <v>169</v>
      </c>
      <c r="AF3" s="10">
        <v>1</v>
      </c>
      <c r="AH3" s="37" t="s">
        <v>169</v>
      </c>
      <c r="AI3" s="10">
        <v>1</v>
      </c>
      <c r="AK3" s="1" t="s">
        <v>151</v>
      </c>
      <c r="AL3" s="10">
        <v>1</v>
      </c>
      <c r="AN3" s="11" t="s">
        <v>169</v>
      </c>
      <c r="AQ3" s="11">
        <v>1</v>
      </c>
      <c r="AS3" s="1" t="s">
        <v>169</v>
      </c>
      <c r="AT3" s="10">
        <v>1</v>
      </c>
      <c r="AV3" s="10" t="s">
        <v>8</v>
      </c>
      <c r="AW3" s="10" t="s">
        <v>54</v>
      </c>
      <c r="AX3" s="10">
        <v>1</v>
      </c>
      <c r="AZ3" s="10" t="s">
        <v>15</v>
      </c>
      <c r="BA3" s="10" t="s">
        <v>63</v>
      </c>
      <c r="BB3" s="10">
        <v>1</v>
      </c>
      <c r="BD3" s="35" t="s">
        <v>336</v>
      </c>
      <c r="BE3" s="35" t="s">
        <v>344</v>
      </c>
      <c r="BF3" s="10">
        <v>1</v>
      </c>
      <c r="BH3" s="11">
        <v>1</v>
      </c>
      <c r="BI3" s="11" t="s">
        <v>68</v>
      </c>
      <c r="BJ3" s="57" t="s">
        <v>68</v>
      </c>
      <c r="BL3" s="11">
        <v>1</v>
      </c>
      <c r="BM3" s="11" t="s">
        <v>68</v>
      </c>
      <c r="BO3" s="1" t="s">
        <v>367</v>
      </c>
      <c r="BQ3" s="36" t="s">
        <v>12</v>
      </c>
      <c r="BR3" s="36" t="s">
        <v>74</v>
      </c>
      <c r="BS3" s="36" t="s">
        <v>128</v>
      </c>
      <c r="BT3" s="36" t="s">
        <v>136</v>
      </c>
      <c r="BU3" s="10" t="s">
        <v>81</v>
      </c>
      <c r="BV3" s="10" t="s">
        <v>7</v>
      </c>
      <c r="BW3" s="10">
        <v>1</v>
      </c>
      <c r="BY3" s="1" t="s">
        <v>90</v>
      </c>
      <c r="BZ3" s="10">
        <v>1</v>
      </c>
      <c r="CB3" s="38" t="s">
        <v>169</v>
      </c>
      <c r="CC3" s="10">
        <v>1</v>
      </c>
    </row>
    <row r="4" spans="1:81" x14ac:dyDescent="0.25">
      <c r="A4" s="22" t="str">
        <f t="shared" si="0"/>
        <v>Administration &amp; Community Services</v>
      </c>
      <c r="B4" s="10">
        <f t="shared" ref="B4:B7" si="1">IF(LEN(C4)&gt;0,B3+1,0)</f>
        <v>2</v>
      </c>
      <c r="C4" s="2" t="s">
        <v>359</v>
      </c>
      <c r="D4" s="25"/>
      <c r="E4" s="12" t="str">
        <f t="shared" ref="E4:E52" si="2">IF(LEN(H4)&gt;0,H4,"")</f>
        <v>Internal audit</v>
      </c>
      <c r="F4" s="30" t="s">
        <v>358</v>
      </c>
      <c r="G4" s="11">
        <f t="shared" ref="G4:G52" si="3">IF(LEN(H4)&gt;0,VLOOKUP(F4,$A$3:$B$26,2,FALSE),"")</f>
        <v>1</v>
      </c>
      <c r="H4" s="29" t="s">
        <v>363</v>
      </c>
      <c r="I4" s="32" t="s">
        <v>187</v>
      </c>
      <c r="J4" s="11">
        <f t="shared" ref="J4" si="4">J3+1</f>
        <v>2</v>
      </c>
      <c r="M4" s="2" t="s">
        <v>150</v>
      </c>
      <c r="N4" s="10">
        <f t="shared" ref="N4:N21" si="5">IF(LEN(M4)&gt;0,N3+1,0)</f>
        <v>2</v>
      </c>
      <c r="O4" s="10"/>
      <c r="P4" s="10" t="s">
        <v>223</v>
      </c>
      <c r="Q4" s="10">
        <f t="shared" ref="Q4:Q12" si="6">VLOOKUP(P4,M:N,2,FALSE)</f>
        <v>1</v>
      </c>
      <c r="R4" s="49" t="s">
        <v>185</v>
      </c>
      <c r="S4" t="s">
        <v>237</v>
      </c>
      <c r="T4" s="52" t="str">
        <f t="shared" ref="T4:T67" si="7">P4&amp;IF(R4="Y"," [Core function] "," [Non-core Function]")&amp;" - "&amp;S4</f>
        <v>Community and Social Services [Core function]  - Animal Care and Diseases</v>
      </c>
      <c r="U4" s="10">
        <f>U3+1</f>
        <v>21</v>
      </c>
      <c r="W4" s="35"/>
      <c r="X4" s="35"/>
      <c r="Y4" s="10">
        <f t="shared" ref="Y4:Y26" si="8">IF(LEN(W4)&gt;0,Y3+1,0)</f>
        <v>0</v>
      </c>
      <c r="AA4" s="10" t="s">
        <v>39</v>
      </c>
      <c r="AB4" s="10" t="s">
        <v>44</v>
      </c>
      <c r="AC4" s="10">
        <v>2</v>
      </c>
      <c r="AE4" s="2" t="s">
        <v>346</v>
      </c>
      <c r="AF4" s="10">
        <f t="shared" ref="AF4:AF25" si="9">IF(LEN(AE4)&gt;0,AF3+1,0)</f>
        <v>2</v>
      </c>
      <c r="AH4" s="2" t="s">
        <v>387</v>
      </c>
      <c r="AI4" s="10">
        <f t="shared" ref="AI4:AI25" si="10">IF(LEN(AH4)&gt;0,AI3+1,0)</f>
        <v>2</v>
      </c>
      <c r="AK4" s="2" t="s">
        <v>152</v>
      </c>
      <c r="AL4" s="10">
        <f t="shared" ref="AL4:AL25" si="11">IF(LEN(AK4)&gt;0,AL3+1,0)</f>
        <v>2</v>
      </c>
      <c r="AN4" s="2" t="s">
        <v>382</v>
      </c>
      <c r="AO4" s="4"/>
      <c r="AP4" s="7"/>
      <c r="AQ4" s="10">
        <f t="shared" ref="AQ4:AQ26" si="12">IF(LEN(AN4)&gt;0,AQ3+1,0)</f>
        <v>2</v>
      </c>
      <c r="AS4" s="2" t="s">
        <v>382</v>
      </c>
      <c r="AT4" s="10">
        <f t="shared" ref="AT4:AT25" si="13">IF(LEN(AS4)&gt;0,AT3+1,0)</f>
        <v>2</v>
      </c>
      <c r="AV4" s="10" t="s">
        <v>13</v>
      </c>
      <c r="AW4" s="10" t="s">
        <v>55</v>
      </c>
      <c r="AX4" s="10">
        <v>2</v>
      </c>
      <c r="AZ4" s="10" t="s">
        <v>9</v>
      </c>
      <c r="BA4" s="10" t="s">
        <v>11</v>
      </c>
      <c r="BB4" s="10">
        <v>2</v>
      </c>
      <c r="BD4" s="29" t="s">
        <v>337</v>
      </c>
      <c r="BE4" s="29" t="s">
        <v>345</v>
      </c>
      <c r="BF4" s="10">
        <f t="shared" ref="BF4:BF22" si="14">IF(LEN(BD4)&gt;0,BF3+1,0)</f>
        <v>2</v>
      </c>
      <c r="BH4" s="10">
        <f t="shared" ref="BH4:BH8" si="15">IF(LEN(BI4)&gt;0,BH3+1,0)</f>
        <v>0</v>
      </c>
      <c r="BI4" s="2"/>
      <c r="BJ4" s="58">
        <v>1</v>
      </c>
      <c r="BL4" s="10">
        <f t="shared" ref="BL4:BL33" si="16">IF(LEN(BM4)&gt;0,BL3+1,0)</f>
        <v>0</v>
      </c>
      <c r="BM4" s="2"/>
      <c r="BO4" s="2" t="s">
        <v>374</v>
      </c>
      <c r="BQ4" s="36" t="s">
        <v>14</v>
      </c>
      <c r="BR4" s="36" t="s">
        <v>75</v>
      </c>
      <c r="BS4" s="36" t="s">
        <v>129</v>
      </c>
      <c r="BT4" s="36" t="s">
        <v>136</v>
      </c>
      <c r="BU4" s="10" t="s">
        <v>82</v>
      </c>
      <c r="BV4" s="10" t="s">
        <v>84</v>
      </c>
      <c r="BW4" s="10">
        <v>2</v>
      </c>
      <c r="BY4" s="2" t="s">
        <v>91</v>
      </c>
      <c r="BZ4" s="10">
        <f t="shared" ref="BZ4:BZ25" si="17">IF(LEN(BY4)&gt;0,BZ3+1,0)</f>
        <v>2</v>
      </c>
      <c r="CB4" s="2" t="s">
        <v>412</v>
      </c>
      <c r="CC4" s="10">
        <f t="shared" ref="CC4:CC52" si="18">IF(LEN(CB4)&gt;0,CC3+1,0)</f>
        <v>2</v>
      </c>
    </row>
    <row r="5" spans="1:81" x14ac:dyDescent="0.25">
      <c r="A5" s="22" t="str">
        <f t="shared" si="0"/>
        <v>Financial Services</v>
      </c>
      <c r="B5" s="10">
        <f t="shared" si="1"/>
        <v>3</v>
      </c>
      <c r="C5" s="2" t="s">
        <v>360</v>
      </c>
      <c r="D5" s="25"/>
      <c r="E5" s="12" t="str">
        <f t="shared" si="2"/>
        <v>Strategic Services</v>
      </c>
      <c r="F5" s="30" t="s">
        <v>358</v>
      </c>
      <c r="G5" s="11">
        <f t="shared" si="3"/>
        <v>1</v>
      </c>
      <c r="H5" s="29" t="s">
        <v>364</v>
      </c>
      <c r="I5" s="32" t="s">
        <v>187</v>
      </c>
      <c r="J5" s="11">
        <f>J4+1</f>
        <v>3</v>
      </c>
      <c r="M5" s="2" t="s">
        <v>224</v>
      </c>
      <c r="N5" s="10">
        <f t="shared" si="5"/>
        <v>3</v>
      </c>
      <c r="O5" s="10"/>
      <c r="P5" s="10" t="s">
        <v>223</v>
      </c>
      <c r="Q5" s="10">
        <f t="shared" si="6"/>
        <v>1</v>
      </c>
      <c r="R5" s="49" t="s">
        <v>185</v>
      </c>
      <c r="S5" t="s">
        <v>238</v>
      </c>
      <c r="T5" s="52" t="str">
        <f t="shared" si="7"/>
        <v>Community and Social Services [Core function]  - Cemeteries, Funeral Parlours and Crematoriums</v>
      </c>
      <c r="U5" s="10">
        <f t="shared" ref="U5:U68" si="19">U4+1</f>
        <v>22</v>
      </c>
      <c r="W5" s="29"/>
      <c r="X5" s="29"/>
      <c r="Y5" s="10">
        <f t="shared" si="8"/>
        <v>0</v>
      </c>
      <c r="AA5" s="10" t="s">
        <v>40</v>
      </c>
      <c r="AB5" s="10" t="s">
        <v>45</v>
      </c>
      <c r="AC5" s="10">
        <v>3</v>
      </c>
      <c r="AE5" s="2" t="s">
        <v>347</v>
      </c>
      <c r="AF5" s="10">
        <f t="shared" si="9"/>
        <v>3</v>
      </c>
      <c r="AH5" s="2" t="s">
        <v>388</v>
      </c>
      <c r="AI5" s="10">
        <f t="shared" si="10"/>
        <v>3</v>
      </c>
      <c r="AK5" s="2" t="s">
        <v>153</v>
      </c>
      <c r="AL5" s="10">
        <f t="shared" si="11"/>
        <v>3</v>
      </c>
      <c r="AN5" s="2" t="s">
        <v>383</v>
      </c>
      <c r="AO5" s="5"/>
      <c r="AP5" s="8"/>
      <c r="AQ5" s="10">
        <f t="shared" si="12"/>
        <v>3</v>
      </c>
      <c r="AS5" s="2" t="s">
        <v>383</v>
      </c>
      <c r="AT5" s="10">
        <f t="shared" si="13"/>
        <v>3</v>
      </c>
      <c r="AV5" s="10" t="s">
        <v>4</v>
      </c>
      <c r="AW5" s="10" t="s">
        <v>56</v>
      </c>
      <c r="AX5" s="10">
        <v>3</v>
      </c>
      <c r="AZ5" s="10" t="s">
        <v>60</v>
      </c>
      <c r="BA5" s="10" t="s">
        <v>64</v>
      </c>
      <c r="BB5" s="10">
        <v>3</v>
      </c>
      <c r="BD5" s="29" t="s">
        <v>338</v>
      </c>
      <c r="BE5" s="29" t="s">
        <v>343</v>
      </c>
      <c r="BF5" s="10">
        <f t="shared" si="14"/>
        <v>3</v>
      </c>
      <c r="BH5" s="10">
        <f t="shared" si="15"/>
        <v>0</v>
      </c>
      <c r="BI5" s="2"/>
      <c r="BJ5" s="58">
        <v>2</v>
      </c>
      <c r="BL5" s="10">
        <f t="shared" si="16"/>
        <v>0</v>
      </c>
      <c r="BM5" s="2"/>
      <c r="BO5" s="2" t="s">
        <v>379</v>
      </c>
      <c r="BQ5" s="36" t="s">
        <v>78</v>
      </c>
      <c r="BR5" s="36" t="s">
        <v>76</v>
      </c>
      <c r="BS5" s="36" t="s">
        <v>130</v>
      </c>
      <c r="BT5" s="36" t="s">
        <v>136</v>
      </c>
      <c r="BU5" s="10" t="s">
        <v>83</v>
      </c>
      <c r="BV5" s="10" t="s">
        <v>85</v>
      </c>
      <c r="BW5" s="10">
        <v>3</v>
      </c>
      <c r="BY5" s="2" t="s">
        <v>138</v>
      </c>
      <c r="BZ5" s="10">
        <f t="shared" si="17"/>
        <v>3</v>
      </c>
      <c r="CB5" s="2"/>
      <c r="CC5" s="10">
        <f t="shared" si="18"/>
        <v>0</v>
      </c>
    </row>
    <row r="6" spans="1:81" x14ac:dyDescent="0.25">
      <c r="A6" s="22" t="str">
        <f t="shared" si="0"/>
        <v>Technical Services</v>
      </c>
      <c r="B6" s="10">
        <f t="shared" si="1"/>
        <v>4</v>
      </c>
      <c r="C6" s="2" t="s">
        <v>361</v>
      </c>
      <c r="D6" s="25"/>
      <c r="E6" s="12" t="str">
        <f t="shared" si="2"/>
        <v>Tourism</v>
      </c>
      <c r="F6" s="30" t="s">
        <v>358</v>
      </c>
      <c r="G6" s="11">
        <f t="shared" si="3"/>
        <v>1</v>
      </c>
      <c r="H6" s="29" t="s">
        <v>291</v>
      </c>
      <c r="I6" s="32" t="s">
        <v>187</v>
      </c>
      <c r="J6" s="11">
        <f t="shared" ref="J6:J52" si="20">J5+1</f>
        <v>4</v>
      </c>
      <c r="M6" s="2" t="s">
        <v>225</v>
      </c>
      <c r="N6" s="10">
        <f t="shared" si="5"/>
        <v>4</v>
      </c>
      <c r="O6" s="10"/>
      <c r="P6" s="10" t="s">
        <v>223</v>
      </c>
      <c r="Q6" s="10">
        <f t="shared" si="6"/>
        <v>1</v>
      </c>
      <c r="R6" s="49" t="s">
        <v>185</v>
      </c>
      <c r="S6" t="s">
        <v>239</v>
      </c>
      <c r="T6" s="52" t="str">
        <f t="shared" si="7"/>
        <v>Community and Social Services [Core function]  - Child Care Facilities</v>
      </c>
      <c r="U6" s="10">
        <f t="shared" si="19"/>
        <v>23</v>
      </c>
      <c r="W6" s="29"/>
      <c r="X6" s="29"/>
      <c r="Y6" s="10">
        <f t="shared" si="8"/>
        <v>0</v>
      </c>
      <c r="AA6" s="10" t="s">
        <v>41</v>
      </c>
      <c r="AB6" s="10" t="s">
        <v>46</v>
      </c>
      <c r="AC6" s="10">
        <v>4</v>
      </c>
      <c r="AE6" s="2" t="s">
        <v>348</v>
      </c>
      <c r="AF6" s="10">
        <f t="shared" si="9"/>
        <v>4</v>
      </c>
      <c r="AH6" s="2" t="s">
        <v>389</v>
      </c>
      <c r="AI6" s="10">
        <f t="shared" si="10"/>
        <v>4</v>
      </c>
      <c r="AK6" s="2" t="s">
        <v>154</v>
      </c>
      <c r="AL6" s="10">
        <f t="shared" si="11"/>
        <v>4</v>
      </c>
      <c r="AN6" s="2" t="s">
        <v>384</v>
      </c>
      <c r="AO6" s="5"/>
      <c r="AP6" s="8"/>
      <c r="AQ6" s="10">
        <f t="shared" si="12"/>
        <v>4</v>
      </c>
      <c r="AS6" s="2" t="s">
        <v>384</v>
      </c>
      <c r="AT6" s="10">
        <f t="shared" si="13"/>
        <v>4</v>
      </c>
      <c r="AV6" s="10" t="s">
        <v>52</v>
      </c>
      <c r="AW6" s="10" t="s">
        <v>57</v>
      </c>
      <c r="AX6" s="10">
        <v>4</v>
      </c>
      <c r="AZ6" s="10" t="s">
        <v>61</v>
      </c>
      <c r="BA6" s="10" t="s">
        <v>10</v>
      </c>
      <c r="BB6" s="10">
        <v>4</v>
      </c>
      <c r="BD6" s="29" t="s">
        <v>339</v>
      </c>
      <c r="BE6" s="29" t="s">
        <v>342</v>
      </c>
      <c r="BF6" s="10">
        <f t="shared" si="14"/>
        <v>4</v>
      </c>
      <c r="BH6" s="10">
        <f t="shared" si="15"/>
        <v>0</v>
      </c>
      <c r="BI6" s="2"/>
      <c r="BJ6" s="58">
        <v>3</v>
      </c>
      <c r="BL6" s="10">
        <f t="shared" si="16"/>
        <v>0</v>
      </c>
      <c r="BM6" s="2"/>
      <c r="BO6" s="2" t="s">
        <v>413</v>
      </c>
      <c r="BQ6" s="36" t="s">
        <v>79</v>
      </c>
      <c r="BR6" s="36" t="s">
        <v>77</v>
      </c>
      <c r="BS6" s="36" t="s">
        <v>131</v>
      </c>
      <c r="BT6" s="36" t="s">
        <v>136</v>
      </c>
      <c r="BU6" s="10"/>
      <c r="BV6" s="10"/>
      <c r="BW6" s="10"/>
      <c r="BY6" s="2" t="s">
        <v>139</v>
      </c>
      <c r="BZ6" s="10">
        <f t="shared" si="17"/>
        <v>4</v>
      </c>
      <c r="CB6" s="2"/>
      <c r="CC6" s="10">
        <f t="shared" si="18"/>
        <v>0</v>
      </c>
    </row>
    <row r="7" spans="1:81" x14ac:dyDescent="0.25">
      <c r="A7" s="22" t="str">
        <f t="shared" si="0"/>
        <v/>
      </c>
      <c r="B7" s="10">
        <f t="shared" si="1"/>
        <v>0</v>
      </c>
      <c r="C7" s="2"/>
      <c r="D7" s="25"/>
      <c r="E7" s="12" t="str">
        <f t="shared" si="2"/>
        <v>Human Resources</v>
      </c>
      <c r="F7" s="30" t="s">
        <v>358</v>
      </c>
      <c r="G7" s="11">
        <f t="shared" si="3"/>
        <v>1</v>
      </c>
      <c r="H7" s="29" t="s">
        <v>186</v>
      </c>
      <c r="I7" s="32" t="s">
        <v>187</v>
      </c>
      <c r="J7" s="11">
        <f t="shared" si="20"/>
        <v>5</v>
      </c>
      <c r="M7" s="2" t="s">
        <v>226</v>
      </c>
      <c r="N7" s="10">
        <f t="shared" si="5"/>
        <v>5</v>
      </c>
      <c r="O7" s="10"/>
      <c r="P7" s="10" t="s">
        <v>223</v>
      </c>
      <c r="Q7" s="10">
        <f t="shared" si="6"/>
        <v>1</v>
      </c>
      <c r="R7" s="49" t="s">
        <v>185</v>
      </c>
      <c r="S7" t="s">
        <v>240</v>
      </c>
      <c r="T7" s="52" t="str">
        <f t="shared" si="7"/>
        <v>Community and Social Services [Core function]  - Community Halls and Facilities</v>
      </c>
      <c r="U7" s="10">
        <f t="shared" si="19"/>
        <v>24</v>
      </c>
      <c r="W7" s="29"/>
      <c r="X7" s="29"/>
      <c r="Y7" s="10">
        <f t="shared" si="8"/>
        <v>0</v>
      </c>
      <c r="AA7" s="10" t="s">
        <v>42</v>
      </c>
      <c r="AB7" s="10" t="s">
        <v>47</v>
      </c>
      <c r="AC7" s="10">
        <v>5</v>
      </c>
      <c r="AE7" s="2" t="s">
        <v>349</v>
      </c>
      <c r="AF7" s="10">
        <f t="shared" si="9"/>
        <v>5</v>
      </c>
      <c r="AH7" s="2" t="s">
        <v>390</v>
      </c>
      <c r="AI7" s="10">
        <f t="shared" si="10"/>
        <v>5</v>
      </c>
      <c r="AK7" s="2" t="s">
        <v>155</v>
      </c>
      <c r="AL7" s="10">
        <f t="shared" si="11"/>
        <v>5</v>
      </c>
      <c r="AN7" s="2" t="s">
        <v>385</v>
      </c>
      <c r="AO7" s="5"/>
      <c r="AP7" s="8"/>
      <c r="AQ7" s="10">
        <f t="shared" si="12"/>
        <v>5</v>
      </c>
      <c r="AS7" s="2" t="s">
        <v>385</v>
      </c>
      <c r="AT7" s="10">
        <f t="shared" si="13"/>
        <v>5</v>
      </c>
      <c r="AV7" s="10" t="s">
        <v>53</v>
      </c>
      <c r="AW7" s="10" t="s">
        <v>58</v>
      </c>
      <c r="AX7" s="10">
        <v>5</v>
      </c>
      <c r="AZ7" s="10" t="s">
        <v>62</v>
      </c>
      <c r="BA7" s="10" t="s">
        <v>7</v>
      </c>
      <c r="BB7" s="10">
        <v>5</v>
      </c>
      <c r="BD7" s="29" t="s">
        <v>340</v>
      </c>
      <c r="BE7" s="29" t="s">
        <v>341</v>
      </c>
      <c r="BF7" s="10">
        <f t="shared" si="14"/>
        <v>5</v>
      </c>
      <c r="BH7" s="10">
        <f t="shared" si="15"/>
        <v>0</v>
      </c>
      <c r="BI7" s="2"/>
      <c r="BJ7" s="58">
        <v>4</v>
      </c>
      <c r="BL7" s="10">
        <f t="shared" si="16"/>
        <v>0</v>
      </c>
      <c r="BM7" s="2"/>
      <c r="BO7" s="2" t="s">
        <v>414</v>
      </c>
      <c r="BQ7" s="36" t="s">
        <v>80</v>
      </c>
      <c r="BR7" s="36" t="s">
        <v>16</v>
      </c>
      <c r="BS7" s="36" t="s">
        <v>132</v>
      </c>
      <c r="BT7" s="36" t="s">
        <v>136</v>
      </c>
      <c r="BU7" s="10"/>
      <c r="BV7" s="10"/>
      <c r="BW7" s="10"/>
      <c r="BY7" s="2" t="s">
        <v>140</v>
      </c>
      <c r="BZ7" s="10">
        <f t="shared" si="17"/>
        <v>5</v>
      </c>
      <c r="CB7" s="2"/>
      <c r="CC7" s="10">
        <f t="shared" si="18"/>
        <v>0</v>
      </c>
    </row>
    <row r="8" spans="1:81" x14ac:dyDescent="0.25">
      <c r="A8" s="22" t="str">
        <f t="shared" si="0"/>
        <v/>
      </c>
      <c r="B8" s="10">
        <f>IF(LEN(C8)&gt;0,B7+1,0)</f>
        <v>0</v>
      </c>
      <c r="C8" s="2"/>
      <c r="D8" s="25"/>
      <c r="E8" s="12" t="str">
        <f t="shared" si="2"/>
        <v>Development</v>
      </c>
      <c r="F8" s="30" t="s">
        <v>358</v>
      </c>
      <c r="G8" s="11">
        <f t="shared" si="3"/>
        <v>1</v>
      </c>
      <c r="H8" s="29" t="s">
        <v>365</v>
      </c>
      <c r="I8" s="32" t="s">
        <v>187</v>
      </c>
      <c r="J8" s="11">
        <f t="shared" si="20"/>
        <v>6</v>
      </c>
      <c r="M8" s="2" t="s">
        <v>149</v>
      </c>
      <c r="N8" s="10">
        <f t="shared" si="5"/>
        <v>6</v>
      </c>
      <c r="O8" s="10"/>
      <c r="P8" s="10" t="s">
        <v>223</v>
      </c>
      <c r="Q8" s="10">
        <f t="shared" si="6"/>
        <v>1</v>
      </c>
      <c r="R8" s="49" t="s">
        <v>185</v>
      </c>
      <c r="S8" t="s">
        <v>241</v>
      </c>
      <c r="T8" s="52" t="str">
        <f t="shared" si="7"/>
        <v>Community and Social Services [Core function]  - Libraries and Archives</v>
      </c>
      <c r="U8" s="10">
        <f t="shared" si="19"/>
        <v>25</v>
      </c>
      <c r="W8" s="29"/>
      <c r="X8" s="29"/>
      <c r="Y8" s="10">
        <f t="shared" si="8"/>
        <v>0</v>
      </c>
      <c r="AA8" s="10"/>
      <c r="AB8" s="10"/>
      <c r="AC8" s="10"/>
      <c r="AE8" s="2" t="s">
        <v>350</v>
      </c>
      <c r="AF8" s="10">
        <f t="shared" si="9"/>
        <v>6</v>
      </c>
      <c r="AH8" s="2" t="s">
        <v>391</v>
      </c>
      <c r="AI8" s="10">
        <f t="shared" si="10"/>
        <v>6</v>
      </c>
      <c r="AK8" s="2" t="s">
        <v>156</v>
      </c>
      <c r="AL8" s="10">
        <f t="shared" si="11"/>
        <v>6</v>
      </c>
      <c r="AN8" s="2" t="s">
        <v>386</v>
      </c>
      <c r="AO8" s="5"/>
      <c r="AP8" s="8"/>
      <c r="AQ8" s="10">
        <f t="shared" si="12"/>
        <v>6</v>
      </c>
      <c r="AS8" s="2" t="s">
        <v>386</v>
      </c>
      <c r="AT8" s="10">
        <f t="shared" si="13"/>
        <v>6</v>
      </c>
      <c r="AV8" s="10"/>
      <c r="AW8" s="10"/>
      <c r="AX8" s="10"/>
      <c r="AZ8" s="10"/>
      <c r="BA8" s="10"/>
      <c r="BB8" s="10"/>
      <c r="BD8" s="29"/>
      <c r="BE8" s="29"/>
      <c r="BF8" s="10">
        <f t="shared" si="14"/>
        <v>0</v>
      </c>
      <c r="BH8" s="10">
        <f t="shared" si="15"/>
        <v>0</v>
      </c>
      <c r="BI8" s="2"/>
      <c r="BJ8" s="58">
        <v>5</v>
      </c>
      <c r="BL8" s="10">
        <f t="shared" si="16"/>
        <v>0</v>
      </c>
      <c r="BM8" s="2"/>
      <c r="BO8" s="2" t="s">
        <v>415</v>
      </c>
      <c r="BQ8" s="36" t="s">
        <v>133</v>
      </c>
      <c r="BR8" s="36" t="s">
        <v>134</v>
      </c>
      <c r="BS8" s="36" t="s">
        <v>135</v>
      </c>
      <c r="BT8" s="36" t="s">
        <v>136</v>
      </c>
      <c r="BU8" s="10"/>
      <c r="BV8" s="10"/>
      <c r="BW8" s="10"/>
      <c r="BY8" s="2" t="s">
        <v>141</v>
      </c>
      <c r="BZ8" s="10">
        <f t="shared" si="17"/>
        <v>6</v>
      </c>
      <c r="CB8" s="2"/>
      <c r="CC8" s="10">
        <f t="shared" si="18"/>
        <v>0</v>
      </c>
    </row>
    <row r="9" spans="1:81" x14ac:dyDescent="0.25">
      <c r="A9" s="22" t="str">
        <f t="shared" si="0"/>
        <v/>
      </c>
      <c r="B9" s="10">
        <f t="shared" ref="B9:B26" si="21">IF(LEN(C9)&gt;0,B8+1,0)</f>
        <v>0</v>
      </c>
      <c r="C9" s="2"/>
      <c r="D9" s="25"/>
      <c r="E9" s="12" t="str">
        <f t="shared" si="2"/>
        <v>Risk Management Shared Service</v>
      </c>
      <c r="F9" s="30" t="s">
        <v>358</v>
      </c>
      <c r="G9" s="11">
        <f t="shared" si="3"/>
        <v>1</v>
      </c>
      <c r="H9" s="29" t="s">
        <v>366</v>
      </c>
      <c r="I9" s="32" t="s">
        <v>187</v>
      </c>
      <c r="J9" s="11">
        <f t="shared" si="20"/>
        <v>7</v>
      </c>
      <c r="M9" s="2" t="s">
        <v>148</v>
      </c>
      <c r="N9" s="10">
        <f t="shared" si="5"/>
        <v>7</v>
      </c>
      <c r="O9" s="10"/>
      <c r="P9" s="10" t="s">
        <v>223</v>
      </c>
      <c r="Q9" s="10">
        <f t="shared" si="6"/>
        <v>1</v>
      </c>
      <c r="R9" s="49" t="s">
        <v>185</v>
      </c>
      <c r="S9" t="s">
        <v>242</v>
      </c>
      <c r="T9" s="52" t="str">
        <f t="shared" si="7"/>
        <v>Community and Social Services [Core function]  - Literacy Programmes</v>
      </c>
      <c r="U9" s="10">
        <f t="shared" si="19"/>
        <v>26</v>
      </c>
      <c r="W9" s="29"/>
      <c r="X9" s="29"/>
      <c r="Y9" s="10">
        <f t="shared" si="8"/>
        <v>0</v>
      </c>
      <c r="AA9" s="10"/>
      <c r="AB9" s="10"/>
      <c r="AC9" s="10"/>
      <c r="AE9" s="2" t="s">
        <v>351</v>
      </c>
      <c r="AF9" s="10">
        <f t="shared" si="9"/>
        <v>7</v>
      </c>
      <c r="AH9" s="2" t="s">
        <v>392</v>
      </c>
      <c r="AI9" s="10">
        <f t="shared" si="10"/>
        <v>7</v>
      </c>
      <c r="AK9" s="2" t="s">
        <v>157</v>
      </c>
      <c r="AL9" s="10">
        <f t="shared" si="11"/>
        <v>7</v>
      </c>
      <c r="AN9" s="2"/>
      <c r="AO9" s="5"/>
      <c r="AP9" s="8"/>
      <c r="AQ9" s="10">
        <f t="shared" si="12"/>
        <v>0</v>
      </c>
      <c r="AS9" s="2"/>
      <c r="AT9" s="10">
        <f t="shared" si="13"/>
        <v>0</v>
      </c>
      <c r="AV9" s="10"/>
      <c r="AW9" s="10"/>
      <c r="AX9" s="10"/>
      <c r="AZ9" s="10"/>
      <c r="BA9" s="10"/>
      <c r="BB9" s="10"/>
      <c r="BD9" s="29"/>
      <c r="BE9" s="29"/>
      <c r="BF9" s="10">
        <f t="shared" si="14"/>
        <v>0</v>
      </c>
      <c r="BH9" s="10">
        <f>IF(LEN(BI9)&gt;0,BH8+1,0)</f>
        <v>0</v>
      </c>
      <c r="BI9" s="2"/>
      <c r="BJ9" s="58">
        <v>6</v>
      </c>
      <c r="BL9" s="10">
        <f t="shared" si="16"/>
        <v>0</v>
      </c>
      <c r="BM9" s="2"/>
      <c r="BO9" s="2" t="s">
        <v>416</v>
      </c>
      <c r="BQ9" s="36" t="s">
        <v>190</v>
      </c>
      <c r="BR9" s="36" t="s">
        <v>191</v>
      </c>
      <c r="BS9" s="36" t="s">
        <v>194</v>
      </c>
      <c r="BT9" s="36" t="s">
        <v>136</v>
      </c>
      <c r="BU9" s="10"/>
      <c r="BV9" s="10"/>
      <c r="BW9" s="10"/>
      <c r="BY9" s="2" t="s">
        <v>142</v>
      </c>
      <c r="BZ9" s="10">
        <f t="shared" si="17"/>
        <v>7</v>
      </c>
      <c r="CB9" s="2"/>
      <c r="CC9" s="10">
        <f t="shared" si="18"/>
        <v>0</v>
      </c>
    </row>
    <row r="10" spans="1:81" x14ac:dyDescent="0.25">
      <c r="A10" s="22" t="str">
        <f t="shared" si="0"/>
        <v/>
      </c>
      <c r="B10" s="10">
        <f t="shared" si="21"/>
        <v>0</v>
      </c>
      <c r="C10" s="2"/>
      <c r="D10" s="25"/>
      <c r="E10" s="12" t="str">
        <f t="shared" si="2"/>
        <v>Director: Administration &amp; Community Services</v>
      </c>
      <c r="F10" s="30" t="s">
        <v>359</v>
      </c>
      <c r="G10" s="11">
        <f t="shared" si="3"/>
        <v>2</v>
      </c>
      <c r="H10" s="29" t="s">
        <v>367</v>
      </c>
      <c r="I10" s="32" t="s">
        <v>185</v>
      </c>
      <c r="J10" s="11">
        <f t="shared" si="20"/>
        <v>8</v>
      </c>
      <c r="M10" s="2" t="s">
        <v>227</v>
      </c>
      <c r="N10" s="10">
        <f t="shared" si="5"/>
        <v>8</v>
      </c>
      <c r="O10" s="10"/>
      <c r="P10" s="10" t="s">
        <v>223</v>
      </c>
      <c r="Q10" s="10">
        <f t="shared" si="6"/>
        <v>1</v>
      </c>
      <c r="R10" s="49" t="s">
        <v>185</v>
      </c>
      <c r="S10" t="s">
        <v>243</v>
      </c>
      <c r="T10" s="52" t="str">
        <f t="shared" si="7"/>
        <v>Community and Social Services [Core function]  - Museums and Art Galleries</v>
      </c>
      <c r="U10" s="10">
        <f t="shared" si="19"/>
        <v>27</v>
      </c>
      <c r="W10" s="29"/>
      <c r="X10" s="29"/>
      <c r="Y10" s="10">
        <f t="shared" si="8"/>
        <v>0</v>
      </c>
      <c r="AA10" s="10"/>
      <c r="AB10" s="10"/>
      <c r="AC10" s="10"/>
      <c r="AE10" s="2" t="s">
        <v>352</v>
      </c>
      <c r="AF10" s="10">
        <f t="shared" si="9"/>
        <v>8</v>
      </c>
      <c r="AH10" s="2" t="s">
        <v>393</v>
      </c>
      <c r="AI10" s="10">
        <f t="shared" si="10"/>
        <v>8</v>
      </c>
      <c r="AK10" s="2" t="s">
        <v>158</v>
      </c>
      <c r="AL10" s="10">
        <f t="shared" si="11"/>
        <v>8</v>
      </c>
      <c r="AN10" s="2"/>
      <c r="AO10" s="5"/>
      <c r="AP10" s="8"/>
      <c r="AQ10" s="10">
        <f t="shared" si="12"/>
        <v>0</v>
      </c>
      <c r="AS10" s="2"/>
      <c r="AT10" s="10">
        <f t="shared" si="13"/>
        <v>0</v>
      </c>
      <c r="AV10" s="10"/>
      <c r="AW10" s="10"/>
      <c r="AX10" s="10"/>
      <c r="AZ10" s="10"/>
      <c r="BA10" s="10"/>
      <c r="BB10" s="10"/>
      <c r="BD10" s="29"/>
      <c r="BE10" s="29"/>
      <c r="BF10" s="10">
        <f t="shared" si="14"/>
        <v>0</v>
      </c>
      <c r="BH10" s="10">
        <f t="shared" ref="BH10:BH26" si="22">IF(LEN(BI10)&gt;0,BH9+1,0)</f>
        <v>0</v>
      </c>
      <c r="BI10" s="2"/>
      <c r="BJ10" s="58">
        <v>7</v>
      </c>
      <c r="BL10" s="10">
        <f t="shared" si="16"/>
        <v>0</v>
      </c>
      <c r="BM10" s="2"/>
      <c r="BO10" s="2" t="s">
        <v>417</v>
      </c>
      <c r="BQ10" s="36" t="s">
        <v>192</v>
      </c>
      <c r="BR10" s="36" t="s">
        <v>193</v>
      </c>
      <c r="BS10" s="36" t="s">
        <v>195</v>
      </c>
      <c r="BT10" s="36" t="s">
        <v>136</v>
      </c>
      <c r="BU10" s="10"/>
      <c r="BV10" s="10"/>
      <c r="BW10" s="10"/>
      <c r="BY10" s="2" t="s">
        <v>143</v>
      </c>
      <c r="BZ10" s="10">
        <f t="shared" si="17"/>
        <v>8</v>
      </c>
      <c r="CB10" s="2"/>
      <c r="CC10" s="10">
        <f t="shared" si="18"/>
        <v>0</v>
      </c>
    </row>
    <row r="11" spans="1:81" x14ac:dyDescent="0.25">
      <c r="A11" s="22" t="str">
        <f t="shared" si="0"/>
        <v/>
      </c>
      <c r="B11" s="10">
        <f t="shared" si="21"/>
        <v>0</v>
      </c>
      <c r="C11" s="2"/>
      <c r="D11" s="25"/>
      <c r="E11" s="12" t="str">
        <f t="shared" si="2"/>
        <v>Municipal Health Services</v>
      </c>
      <c r="F11" s="30" t="s">
        <v>359</v>
      </c>
      <c r="G11" s="11">
        <f t="shared" si="3"/>
        <v>2</v>
      </c>
      <c r="H11" s="29" t="s">
        <v>368</v>
      </c>
      <c r="I11" s="32" t="s">
        <v>187</v>
      </c>
      <c r="J11" s="11">
        <f t="shared" si="20"/>
        <v>9</v>
      </c>
      <c r="M11" s="2" t="s">
        <v>91</v>
      </c>
      <c r="N11" s="10">
        <f t="shared" si="5"/>
        <v>9</v>
      </c>
      <c r="O11" s="10"/>
      <c r="P11" s="10" t="s">
        <v>223</v>
      </c>
      <c r="Q11" s="10">
        <f t="shared" si="6"/>
        <v>1</v>
      </c>
      <c r="R11" s="49" t="s">
        <v>185</v>
      </c>
      <c r="S11" t="s">
        <v>244</v>
      </c>
      <c r="T11" s="52" t="str">
        <f t="shared" si="7"/>
        <v>Community and Social Services [Core function]  - Theatres</v>
      </c>
      <c r="U11" s="10">
        <f t="shared" si="19"/>
        <v>28</v>
      </c>
      <c r="W11" s="29"/>
      <c r="X11" s="29"/>
      <c r="Y11" s="10">
        <f t="shared" si="8"/>
        <v>0</v>
      </c>
      <c r="AA11" s="10"/>
      <c r="AB11" s="10"/>
      <c r="AC11" s="10"/>
      <c r="AE11" s="2" t="s">
        <v>353</v>
      </c>
      <c r="AF11" s="10">
        <f t="shared" si="9"/>
        <v>9</v>
      </c>
      <c r="AH11" s="2" t="s">
        <v>394</v>
      </c>
      <c r="AI11" s="10">
        <f t="shared" si="10"/>
        <v>9</v>
      </c>
      <c r="AK11" s="2" t="s">
        <v>159</v>
      </c>
      <c r="AL11" s="10">
        <f t="shared" si="11"/>
        <v>9</v>
      </c>
      <c r="AN11" s="2"/>
      <c r="AO11" s="5"/>
      <c r="AP11" s="8"/>
      <c r="AQ11" s="10">
        <f t="shared" si="12"/>
        <v>0</v>
      </c>
      <c r="AS11" s="2"/>
      <c r="AT11" s="10">
        <f t="shared" si="13"/>
        <v>0</v>
      </c>
      <c r="AV11" s="10"/>
      <c r="AW11" s="10"/>
      <c r="AX11" s="10"/>
      <c r="AZ11" s="10"/>
      <c r="BA11" s="10"/>
      <c r="BB11" s="10"/>
      <c r="BD11" s="29"/>
      <c r="BE11" s="29"/>
      <c r="BF11" s="10">
        <f t="shared" si="14"/>
        <v>0</v>
      </c>
      <c r="BH11" s="10">
        <f t="shared" si="22"/>
        <v>0</v>
      </c>
      <c r="BI11" s="2"/>
      <c r="BJ11" s="58">
        <v>8</v>
      </c>
      <c r="BL11" s="10">
        <f t="shared" si="16"/>
        <v>0</v>
      </c>
      <c r="BM11" s="2"/>
      <c r="BO11" s="2" t="s">
        <v>418</v>
      </c>
      <c r="BQ11" s="10"/>
      <c r="BR11" s="10"/>
      <c r="BS11" s="10"/>
      <c r="BU11" s="10"/>
      <c r="BV11" s="10"/>
      <c r="BW11" s="10"/>
      <c r="BY11" s="2" t="s">
        <v>144</v>
      </c>
      <c r="BZ11" s="10">
        <f t="shared" si="17"/>
        <v>9</v>
      </c>
      <c r="CB11" s="2"/>
      <c r="CC11" s="10">
        <f t="shared" si="18"/>
        <v>0</v>
      </c>
    </row>
    <row r="12" spans="1:81" x14ac:dyDescent="0.25">
      <c r="A12" s="22" t="str">
        <f t="shared" si="0"/>
        <v/>
      </c>
      <c r="B12" s="10">
        <f t="shared" si="21"/>
        <v>0</v>
      </c>
      <c r="C12" s="2"/>
      <c r="D12" s="25"/>
      <c r="E12" s="12" t="str">
        <f t="shared" si="2"/>
        <v>Public relations</v>
      </c>
      <c r="F12" s="30" t="s">
        <v>359</v>
      </c>
      <c r="G12" s="11">
        <f t="shared" si="3"/>
        <v>2</v>
      </c>
      <c r="H12" s="29" t="s">
        <v>369</v>
      </c>
      <c r="I12" s="32" t="s">
        <v>187</v>
      </c>
      <c r="J12" s="11">
        <f t="shared" si="20"/>
        <v>10</v>
      </c>
      <c r="M12" s="2" t="s">
        <v>228</v>
      </c>
      <c r="N12" s="10">
        <f t="shared" si="5"/>
        <v>10</v>
      </c>
      <c r="O12" s="10"/>
      <c r="P12" s="10" t="s">
        <v>223</v>
      </c>
      <c r="Q12" s="10">
        <f t="shared" si="6"/>
        <v>1</v>
      </c>
      <c r="R12" s="49" t="s">
        <v>185</v>
      </c>
      <c r="S12" t="s">
        <v>245</v>
      </c>
      <c r="T12" s="52" t="str">
        <f t="shared" si="7"/>
        <v>Community and Social Services [Core function]  - Zoos</v>
      </c>
      <c r="U12" s="10">
        <f t="shared" si="19"/>
        <v>29</v>
      </c>
      <c r="W12" s="29"/>
      <c r="X12" s="29"/>
      <c r="Y12" s="10">
        <f t="shared" si="8"/>
        <v>0</v>
      </c>
      <c r="AA12" s="10"/>
      <c r="AB12" s="10"/>
      <c r="AC12" s="10"/>
      <c r="AE12" s="2" t="s">
        <v>354</v>
      </c>
      <c r="AF12" s="10">
        <f t="shared" si="9"/>
        <v>10</v>
      </c>
      <c r="AH12" s="2" t="s">
        <v>395</v>
      </c>
      <c r="AI12" s="10">
        <f t="shared" si="10"/>
        <v>10</v>
      </c>
      <c r="AK12" s="2" t="s">
        <v>160</v>
      </c>
      <c r="AL12" s="10">
        <f t="shared" si="11"/>
        <v>10</v>
      </c>
      <c r="AN12" s="2"/>
      <c r="AO12" s="5"/>
      <c r="AP12" s="8"/>
      <c r="AQ12" s="10">
        <f t="shared" si="12"/>
        <v>0</v>
      </c>
      <c r="AS12" s="2"/>
      <c r="AT12" s="10">
        <f t="shared" si="13"/>
        <v>0</v>
      </c>
      <c r="AV12" s="10"/>
      <c r="AW12" s="10"/>
      <c r="AX12" s="10"/>
      <c r="AZ12" s="10"/>
      <c r="BA12" s="10"/>
      <c r="BB12" s="10"/>
      <c r="BD12" s="29"/>
      <c r="BE12" s="29"/>
      <c r="BF12" s="10">
        <f t="shared" si="14"/>
        <v>0</v>
      </c>
      <c r="BH12" s="10">
        <f t="shared" si="22"/>
        <v>0</v>
      </c>
      <c r="BI12" s="2"/>
      <c r="BJ12" s="58">
        <v>9</v>
      </c>
      <c r="BL12" s="10">
        <f t="shared" si="16"/>
        <v>0</v>
      </c>
      <c r="BM12" s="2"/>
      <c r="BO12" s="2" t="s">
        <v>419</v>
      </c>
      <c r="BQ12" s="10"/>
      <c r="BR12" s="10"/>
      <c r="BS12" s="10"/>
      <c r="BU12" s="10"/>
      <c r="BV12" s="10"/>
      <c r="BW12" s="10"/>
      <c r="BY12" s="2" t="s">
        <v>145</v>
      </c>
      <c r="BZ12" s="10">
        <f t="shared" si="17"/>
        <v>10</v>
      </c>
      <c r="CB12" s="2"/>
      <c r="CC12" s="10">
        <f t="shared" si="18"/>
        <v>0</v>
      </c>
    </row>
    <row r="13" spans="1:81" x14ac:dyDescent="0.25">
      <c r="A13" s="22" t="str">
        <f t="shared" si="0"/>
        <v/>
      </c>
      <c r="B13" s="10">
        <f t="shared" si="21"/>
        <v>0</v>
      </c>
      <c r="C13" s="2"/>
      <c r="D13" s="25"/>
      <c r="E13" s="12" t="str">
        <f t="shared" si="2"/>
        <v>Support Services</v>
      </c>
      <c r="F13" s="30" t="s">
        <v>359</v>
      </c>
      <c r="G13" s="11">
        <f t="shared" si="3"/>
        <v>2</v>
      </c>
      <c r="H13" s="29" t="s">
        <v>370</v>
      </c>
      <c r="I13" s="32" t="s">
        <v>187</v>
      </c>
      <c r="J13" s="11">
        <f t="shared" si="20"/>
        <v>11</v>
      </c>
      <c r="M13" s="2" t="s">
        <v>229</v>
      </c>
      <c r="N13" s="10">
        <f t="shared" si="5"/>
        <v>11</v>
      </c>
      <c r="O13" s="10"/>
      <c r="P13" s="10" t="s">
        <v>223</v>
      </c>
      <c r="Q13" s="10">
        <f t="shared" ref="Q13:Q76" si="23">VLOOKUP(P13,M:N,2,FALSE)</f>
        <v>1</v>
      </c>
      <c r="R13" s="49" t="s">
        <v>187</v>
      </c>
      <c r="S13" s="10" t="s">
        <v>236</v>
      </c>
      <c r="T13" s="52" t="str">
        <f t="shared" si="7"/>
        <v>Community and Social Services [Non-core Function] - Aged Care</v>
      </c>
      <c r="U13" s="10">
        <f t="shared" si="19"/>
        <v>30</v>
      </c>
      <c r="W13" s="29"/>
      <c r="X13" s="29"/>
      <c r="Y13" s="10">
        <f t="shared" si="8"/>
        <v>0</v>
      </c>
      <c r="AA13" s="10"/>
      <c r="AB13" s="10"/>
      <c r="AC13" s="10"/>
      <c r="AE13" s="2" t="s">
        <v>355</v>
      </c>
      <c r="AF13" s="10">
        <f t="shared" si="9"/>
        <v>11</v>
      </c>
      <c r="AH13" s="2" t="s">
        <v>396</v>
      </c>
      <c r="AI13" s="10">
        <f t="shared" si="10"/>
        <v>11</v>
      </c>
      <c r="AK13" s="2" t="s">
        <v>161</v>
      </c>
      <c r="AL13" s="10">
        <f t="shared" si="11"/>
        <v>11</v>
      </c>
      <c r="AN13" s="2"/>
      <c r="AO13" s="5"/>
      <c r="AP13" s="8"/>
      <c r="AQ13" s="10">
        <f t="shared" si="12"/>
        <v>0</v>
      </c>
      <c r="AS13" s="2"/>
      <c r="AT13" s="10">
        <f t="shared" si="13"/>
        <v>0</v>
      </c>
      <c r="AV13" s="10"/>
      <c r="AW13" s="10"/>
      <c r="AX13" s="10"/>
      <c r="AZ13" s="10"/>
      <c r="BA13" s="10"/>
      <c r="BB13" s="10"/>
      <c r="BD13" s="29"/>
      <c r="BE13" s="29"/>
      <c r="BF13" s="10">
        <f t="shared" si="14"/>
        <v>0</v>
      </c>
      <c r="BH13" s="10">
        <f t="shared" si="22"/>
        <v>0</v>
      </c>
      <c r="BI13" s="2"/>
      <c r="BJ13" s="58">
        <v>10</v>
      </c>
      <c r="BL13" s="10">
        <f t="shared" si="16"/>
        <v>0</v>
      </c>
      <c r="BM13" s="2"/>
      <c r="BO13" s="2" t="s">
        <v>420</v>
      </c>
      <c r="BQ13" s="10"/>
      <c r="BR13" s="10"/>
      <c r="BS13" s="10"/>
      <c r="BU13" s="10"/>
      <c r="BV13" s="10"/>
      <c r="BW13" s="10"/>
      <c r="BY13" s="2" t="s">
        <v>188</v>
      </c>
      <c r="BZ13" s="10">
        <f t="shared" si="17"/>
        <v>11</v>
      </c>
      <c r="CB13" s="2"/>
      <c r="CC13" s="10">
        <f t="shared" si="18"/>
        <v>0</v>
      </c>
    </row>
    <row r="14" spans="1:81" x14ac:dyDescent="0.25">
      <c r="A14" s="22" t="str">
        <f t="shared" si="0"/>
        <v/>
      </c>
      <c r="B14" s="10">
        <f t="shared" si="21"/>
        <v>0</v>
      </c>
      <c r="C14" s="2"/>
      <c r="D14" s="25"/>
      <c r="E14" s="12" t="str">
        <f t="shared" si="2"/>
        <v>Protection Services</v>
      </c>
      <c r="F14" s="30" t="s">
        <v>359</v>
      </c>
      <c r="G14" s="11">
        <f t="shared" si="3"/>
        <v>2</v>
      </c>
      <c r="H14" s="29" t="s">
        <v>371</v>
      </c>
      <c r="I14" s="32" t="s">
        <v>187</v>
      </c>
      <c r="J14" s="11">
        <f t="shared" si="20"/>
        <v>12</v>
      </c>
      <c r="M14" s="2" t="s">
        <v>230</v>
      </c>
      <c r="N14" s="10">
        <f t="shared" si="5"/>
        <v>12</v>
      </c>
      <c r="O14" s="10"/>
      <c r="P14" s="10" t="s">
        <v>223</v>
      </c>
      <c r="Q14" s="10">
        <f t="shared" si="23"/>
        <v>1</v>
      </c>
      <c r="R14" s="49" t="s">
        <v>187</v>
      </c>
      <c r="S14" s="10" t="s">
        <v>246</v>
      </c>
      <c r="T14" s="52" t="str">
        <f t="shared" si="7"/>
        <v>Community and Social Services [Non-core Function] - Agricultural</v>
      </c>
      <c r="U14" s="10">
        <f t="shared" si="19"/>
        <v>31</v>
      </c>
      <c r="W14" s="29"/>
      <c r="X14" s="29"/>
      <c r="Y14" s="10">
        <f t="shared" si="8"/>
        <v>0</v>
      </c>
      <c r="AA14" s="10"/>
      <c r="AB14" s="10"/>
      <c r="AC14" s="10"/>
      <c r="AE14" s="2" t="s">
        <v>356</v>
      </c>
      <c r="AF14" s="10">
        <f t="shared" si="9"/>
        <v>12</v>
      </c>
      <c r="AH14" s="2" t="s">
        <v>397</v>
      </c>
      <c r="AI14" s="10">
        <f t="shared" si="10"/>
        <v>12</v>
      </c>
      <c r="AK14" s="2" t="s">
        <v>162</v>
      </c>
      <c r="AL14" s="10">
        <f t="shared" si="11"/>
        <v>12</v>
      </c>
      <c r="AN14" s="2"/>
      <c r="AO14" s="5"/>
      <c r="AP14" s="8"/>
      <c r="AQ14" s="10">
        <f t="shared" si="12"/>
        <v>0</v>
      </c>
      <c r="AS14" s="2"/>
      <c r="AT14" s="10">
        <f t="shared" si="13"/>
        <v>0</v>
      </c>
      <c r="AV14" s="10"/>
      <c r="AW14" s="10"/>
      <c r="AX14" s="10"/>
      <c r="AZ14" s="10"/>
      <c r="BA14" s="10"/>
      <c r="BB14" s="10"/>
      <c r="BD14" s="29"/>
      <c r="BE14" s="29"/>
      <c r="BF14" s="10">
        <f t="shared" si="14"/>
        <v>0</v>
      </c>
      <c r="BH14" s="10">
        <f t="shared" si="22"/>
        <v>0</v>
      </c>
      <c r="BI14" s="2"/>
      <c r="BJ14" s="58">
        <v>11</v>
      </c>
      <c r="BL14" s="10">
        <f t="shared" si="16"/>
        <v>0</v>
      </c>
      <c r="BM14" s="2"/>
      <c r="BO14" s="2" t="s">
        <v>421</v>
      </c>
      <c r="BQ14" s="10"/>
      <c r="BR14" s="10"/>
      <c r="BS14" s="10"/>
      <c r="BU14" s="10"/>
      <c r="BV14" s="10"/>
      <c r="BW14" s="10"/>
      <c r="BY14" s="2" t="s">
        <v>189</v>
      </c>
      <c r="BZ14" s="10">
        <f t="shared" si="17"/>
        <v>12</v>
      </c>
      <c r="CB14" s="2"/>
      <c r="CC14" s="10">
        <f t="shared" si="18"/>
        <v>0</v>
      </c>
    </row>
    <row r="15" spans="1:81" x14ac:dyDescent="0.25">
      <c r="A15" s="22" t="str">
        <f t="shared" si="0"/>
        <v/>
      </c>
      <c r="B15" s="10">
        <f t="shared" si="21"/>
        <v>0</v>
      </c>
      <c r="C15" s="2"/>
      <c r="D15" s="25"/>
      <c r="E15" s="12" t="str">
        <f t="shared" si="2"/>
        <v>Fire Services</v>
      </c>
      <c r="F15" s="30" t="s">
        <v>359</v>
      </c>
      <c r="G15" s="11">
        <f t="shared" si="3"/>
        <v>2</v>
      </c>
      <c r="H15" s="29" t="s">
        <v>372</v>
      </c>
      <c r="I15" s="32" t="s">
        <v>187</v>
      </c>
      <c r="J15" s="11">
        <f t="shared" si="20"/>
        <v>13</v>
      </c>
      <c r="M15" s="2" t="s">
        <v>231</v>
      </c>
      <c r="N15" s="10">
        <f t="shared" si="5"/>
        <v>13</v>
      </c>
      <c r="O15" s="10"/>
      <c r="P15" s="10" t="s">
        <v>223</v>
      </c>
      <c r="Q15" s="10">
        <f t="shared" si="23"/>
        <v>1</v>
      </c>
      <c r="R15" s="49" t="s">
        <v>187</v>
      </c>
      <c r="S15" s="10" t="s">
        <v>237</v>
      </c>
      <c r="T15" s="52" t="str">
        <f t="shared" si="7"/>
        <v>Community and Social Services [Non-core Function] - Animal Care and Diseases</v>
      </c>
      <c r="U15" s="10">
        <f t="shared" si="19"/>
        <v>32</v>
      </c>
      <c r="W15" s="29"/>
      <c r="X15" s="29"/>
      <c r="Y15" s="10">
        <f t="shared" si="8"/>
        <v>0</v>
      </c>
      <c r="AA15" s="10"/>
      <c r="AB15" s="10"/>
      <c r="AC15" s="10"/>
      <c r="AE15" s="2" t="s">
        <v>357</v>
      </c>
      <c r="AF15" s="10">
        <f t="shared" si="9"/>
        <v>13</v>
      </c>
      <c r="AH15" s="2" t="s">
        <v>398</v>
      </c>
      <c r="AI15" s="10">
        <f t="shared" si="10"/>
        <v>13</v>
      </c>
      <c r="AK15" s="2"/>
      <c r="AL15" s="10">
        <f t="shared" si="11"/>
        <v>0</v>
      </c>
      <c r="AN15" s="2"/>
      <c r="AO15" s="5"/>
      <c r="AP15" s="8"/>
      <c r="AQ15" s="10">
        <f t="shared" si="12"/>
        <v>0</v>
      </c>
      <c r="AS15" s="2"/>
      <c r="AT15" s="10">
        <f t="shared" si="13"/>
        <v>0</v>
      </c>
      <c r="AV15" s="10"/>
      <c r="AW15" s="10"/>
      <c r="AX15" s="10"/>
      <c r="AZ15" s="10"/>
      <c r="BA15" s="10"/>
      <c r="BB15" s="10"/>
      <c r="BD15" s="29"/>
      <c r="BE15" s="29"/>
      <c r="BF15" s="10">
        <f t="shared" si="14"/>
        <v>0</v>
      </c>
      <c r="BH15" s="10">
        <f t="shared" si="22"/>
        <v>0</v>
      </c>
      <c r="BI15" s="2"/>
      <c r="BJ15" s="58">
        <v>12</v>
      </c>
      <c r="BL15" s="10">
        <f t="shared" si="16"/>
        <v>0</v>
      </c>
      <c r="BM15" s="2"/>
      <c r="BO15" s="2" t="s">
        <v>422</v>
      </c>
      <c r="BQ15" s="10"/>
      <c r="BR15" s="10"/>
      <c r="BS15" s="10"/>
      <c r="BU15" s="10"/>
      <c r="BV15" s="10"/>
      <c r="BW15" s="10"/>
      <c r="BY15" s="2"/>
      <c r="BZ15" s="10">
        <f t="shared" si="17"/>
        <v>0</v>
      </c>
      <c r="CB15" s="2"/>
      <c r="CC15" s="10">
        <f t="shared" si="18"/>
        <v>0</v>
      </c>
    </row>
    <row r="16" spans="1:81" x14ac:dyDescent="0.25">
      <c r="A16" s="22" t="str">
        <f t="shared" si="0"/>
        <v/>
      </c>
      <c r="B16" s="10">
        <f t="shared" si="21"/>
        <v>0</v>
      </c>
      <c r="C16" s="2"/>
      <c r="D16" s="25"/>
      <c r="E16" s="12" t="str">
        <f t="shared" si="2"/>
        <v>Administration</v>
      </c>
      <c r="F16" s="30" t="s">
        <v>359</v>
      </c>
      <c r="G16" s="11">
        <f t="shared" si="3"/>
        <v>2</v>
      </c>
      <c r="H16" s="29" t="s">
        <v>373</v>
      </c>
      <c r="I16" s="32" t="s">
        <v>187</v>
      </c>
      <c r="J16" s="11">
        <f t="shared" si="20"/>
        <v>14</v>
      </c>
      <c r="M16" s="2" t="s">
        <v>232</v>
      </c>
      <c r="N16" s="10">
        <f t="shared" si="5"/>
        <v>14</v>
      </c>
      <c r="O16" s="10"/>
      <c r="P16" s="10" t="s">
        <v>223</v>
      </c>
      <c r="Q16" s="10">
        <f t="shared" si="23"/>
        <v>1</v>
      </c>
      <c r="R16" s="49" t="s">
        <v>187</v>
      </c>
      <c r="S16" s="10" t="s">
        <v>239</v>
      </c>
      <c r="T16" s="52" t="str">
        <f t="shared" si="7"/>
        <v>Community and Social Services [Non-core Function] - Child Care Facilities</v>
      </c>
      <c r="U16" s="10">
        <f t="shared" si="19"/>
        <v>33</v>
      </c>
      <c r="W16" s="29"/>
      <c r="X16" s="29"/>
      <c r="Y16" s="10">
        <f t="shared" si="8"/>
        <v>0</v>
      </c>
      <c r="AA16" s="10"/>
      <c r="AB16" s="10"/>
      <c r="AC16" s="10"/>
      <c r="AE16" s="2"/>
      <c r="AF16" s="10">
        <f t="shared" si="9"/>
        <v>0</v>
      </c>
      <c r="AH16" s="2" t="s">
        <v>399</v>
      </c>
      <c r="AI16" s="10">
        <f t="shared" si="10"/>
        <v>14</v>
      </c>
      <c r="AK16" s="2"/>
      <c r="AL16" s="10">
        <f t="shared" si="11"/>
        <v>0</v>
      </c>
      <c r="AN16" s="2"/>
      <c r="AO16" s="5"/>
      <c r="AP16" s="8"/>
      <c r="AQ16" s="10">
        <f t="shared" si="12"/>
        <v>0</v>
      </c>
      <c r="AS16" s="2"/>
      <c r="AT16" s="10">
        <f t="shared" si="13"/>
        <v>0</v>
      </c>
      <c r="AV16" s="10"/>
      <c r="AW16" s="10"/>
      <c r="AX16" s="10"/>
      <c r="AZ16" s="10"/>
      <c r="BA16" s="10"/>
      <c r="BB16" s="10"/>
      <c r="BD16" s="29"/>
      <c r="BE16" s="29"/>
      <c r="BF16" s="10">
        <f t="shared" si="14"/>
        <v>0</v>
      </c>
      <c r="BH16" s="10">
        <f t="shared" si="22"/>
        <v>0</v>
      </c>
      <c r="BI16" s="2"/>
      <c r="BJ16" s="58">
        <v>13</v>
      </c>
      <c r="BL16" s="10">
        <f t="shared" si="16"/>
        <v>0</v>
      </c>
      <c r="BM16" s="2"/>
      <c r="BO16" s="2" t="s">
        <v>423</v>
      </c>
      <c r="BQ16" s="10"/>
      <c r="BR16" s="10"/>
      <c r="BS16" s="10"/>
      <c r="BU16" s="10"/>
      <c r="BV16" s="10"/>
      <c r="BW16" s="10"/>
      <c r="BY16" s="2"/>
      <c r="BZ16" s="10">
        <f t="shared" si="17"/>
        <v>0</v>
      </c>
      <c r="CB16" s="2"/>
      <c r="CC16" s="10">
        <f t="shared" si="18"/>
        <v>0</v>
      </c>
    </row>
    <row r="17" spans="1:81" x14ac:dyDescent="0.25">
      <c r="A17" s="22" t="str">
        <f t="shared" si="0"/>
        <v/>
      </c>
      <c r="B17" s="10">
        <f t="shared" si="21"/>
        <v>0</v>
      </c>
      <c r="C17" s="2"/>
      <c r="D17" s="25"/>
      <c r="E17" s="12" t="str">
        <f t="shared" si="2"/>
        <v>Disaster Management</v>
      </c>
      <c r="F17" s="30" t="s">
        <v>359</v>
      </c>
      <c r="G17" s="11">
        <f t="shared" si="3"/>
        <v>2</v>
      </c>
      <c r="H17" s="29" t="s">
        <v>249</v>
      </c>
      <c r="I17" s="32" t="s">
        <v>187</v>
      </c>
      <c r="J17" s="11">
        <f t="shared" si="20"/>
        <v>15</v>
      </c>
      <c r="M17" s="2" t="s">
        <v>233</v>
      </c>
      <c r="N17" s="10">
        <f t="shared" si="5"/>
        <v>15</v>
      </c>
      <c r="O17" s="10"/>
      <c r="P17" s="10" t="s">
        <v>223</v>
      </c>
      <c r="Q17" s="10">
        <f t="shared" si="23"/>
        <v>1</v>
      </c>
      <c r="R17" s="49" t="s">
        <v>187</v>
      </c>
      <c r="S17" s="10" t="s">
        <v>240</v>
      </c>
      <c r="T17" s="52" t="str">
        <f t="shared" si="7"/>
        <v>Community and Social Services [Non-core Function] - Community Halls and Facilities</v>
      </c>
      <c r="U17" s="10">
        <f t="shared" si="19"/>
        <v>34</v>
      </c>
      <c r="W17" s="29"/>
      <c r="X17" s="29"/>
      <c r="Y17" s="10">
        <f t="shared" si="8"/>
        <v>0</v>
      </c>
      <c r="AA17" s="10"/>
      <c r="AB17" s="10"/>
      <c r="AC17" s="10"/>
      <c r="AE17" s="2"/>
      <c r="AF17" s="10">
        <f t="shared" si="9"/>
        <v>0</v>
      </c>
      <c r="AH17" s="2" t="s">
        <v>400</v>
      </c>
      <c r="AI17" s="10">
        <f t="shared" si="10"/>
        <v>15</v>
      </c>
      <c r="AK17" s="2"/>
      <c r="AL17" s="10">
        <f t="shared" si="11"/>
        <v>0</v>
      </c>
      <c r="AN17" s="2"/>
      <c r="AO17" s="5"/>
      <c r="AP17" s="8"/>
      <c r="AQ17" s="10">
        <f t="shared" si="12"/>
        <v>0</v>
      </c>
      <c r="AS17" s="2"/>
      <c r="AT17" s="10">
        <f t="shared" si="13"/>
        <v>0</v>
      </c>
      <c r="AV17" s="10"/>
      <c r="AW17" s="10"/>
      <c r="AX17" s="10"/>
      <c r="AZ17" s="10"/>
      <c r="BA17" s="10"/>
      <c r="BB17" s="10"/>
      <c r="BD17" s="29"/>
      <c r="BE17" s="29"/>
      <c r="BF17" s="10">
        <f t="shared" si="14"/>
        <v>0</v>
      </c>
      <c r="BH17" s="10">
        <f t="shared" si="22"/>
        <v>0</v>
      </c>
      <c r="BI17" s="2"/>
      <c r="BJ17" s="58">
        <v>14</v>
      </c>
      <c r="BL17" s="10">
        <f t="shared" si="16"/>
        <v>0</v>
      </c>
      <c r="BM17" s="2"/>
      <c r="BO17" s="2" t="s">
        <v>424</v>
      </c>
      <c r="BQ17" s="10"/>
      <c r="BR17" s="10"/>
      <c r="BS17" s="10"/>
      <c r="BU17" s="10"/>
      <c r="BV17" s="10"/>
      <c r="BW17" s="10"/>
      <c r="BY17" s="2"/>
      <c r="BZ17" s="10">
        <f t="shared" si="17"/>
        <v>0</v>
      </c>
      <c r="CB17" s="2"/>
      <c r="CC17" s="10">
        <f t="shared" si="18"/>
        <v>0</v>
      </c>
    </row>
    <row r="18" spans="1:81" x14ac:dyDescent="0.25">
      <c r="A18" s="22" t="str">
        <f t="shared" si="0"/>
        <v/>
      </c>
      <c r="B18" s="10">
        <f t="shared" si="21"/>
        <v>0</v>
      </c>
      <c r="C18" s="2"/>
      <c r="D18" s="25"/>
      <c r="E18" s="12" t="str">
        <f t="shared" si="2"/>
        <v>Director: Financial Services</v>
      </c>
      <c r="F18" s="30" t="s">
        <v>360</v>
      </c>
      <c r="G18" s="11">
        <f t="shared" si="3"/>
        <v>3</v>
      </c>
      <c r="H18" s="29" t="s">
        <v>374</v>
      </c>
      <c r="I18" s="32" t="s">
        <v>185</v>
      </c>
      <c r="J18" s="11">
        <f t="shared" si="20"/>
        <v>16</v>
      </c>
      <c r="M18" s="2" t="s">
        <v>234</v>
      </c>
      <c r="N18" s="10">
        <f t="shared" si="5"/>
        <v>16</v>
      </c>
      <c r="O18" s="10"/>
      <c r="P18" s="10" t="s">
        <v>223</v>
      </c>
      <c r="Q18" s="10">
        <f t="shared" si="23"/>
        <v>1</v>
      </c>
      <c r="R18" s="49" t="s">
        <v>187</v>
      </c>
      <c r="S18" s="10" t="s">
        <v>247</v>
      </c>
      <c r="T18" s="52" t="str">
        <f t="shared" si="7"/>
        <v>Community and Social Services [Non-core Function] - Consumer Protection</v>
      </c>
      <c r="U18" s="10">
        <f t="shared" si="19"/>
        <v>35</v>
      </c>
      <c r="W18" s="29"/>
      <c r="X18" s="29"/>
      <c r="Y18" s="10">
        <f t="shared" si="8"/>
        <v>0</v>
      </c>
      <c r="AA18" s="10"/>
      <c r="AB18" s="10"/>
      <c r="AC18" s="10"/>
      <c r="AE18" s="2"/>
      <c r="AF18" s="10">
        <f t="shared" si="9"/>
        <v>0</v>
      </c>
      <c r="AH18" s="2" t="s">
        <v>401</v>
      </c>
      <c r="AI18" s="10">
        <f t="shared" si="10"/>
        <v>16</v>
      </c>
      <c r="AK18" s="2"/>
      <c r="AL18" s="10">
        <f t="shared" si="11"/>
        <v>0</v>
      </c>
      <c r="AN18" s="2"/>
      <c r="AO18" s="5"/>
      <c r="AP18" s="8"/>
      <c r="AQ18" s="10">
        <f t="shared" si="12"/>
        <v>0</v>
      </c>
      <c r="AS18" s="2"/>
      <c r="AT18" s="10">
        <f t="shared" si="13"/>
        <v>0</v>
      </c>
      <c r="AV18" s="10"/>
      <c r="AW18" s="10"/>
      <c r="AX18" s="10"/>
      <c r="AZ18" s="10"/>
      <c r="BA18" s="10"/>
      <c r="BB18" s="10"/>
      <c r="BD18" s="29"/>
      <c r="BE18" s="29"/>
      <c r="BF18" s="10">
        <f t="shared" si="14"/>
        <v>0</v>
      </c>
      <c r="BH18" s="10">
        <f t="shared" si="22"/>
        <v>0</v>
      </c>
      <c r="BI18" s="2"/>
      <c r="BJ18" s="58">
        <v>15</v>
      </c>
      <c r="BL18" s="10">
        <f t="shared" si="16"/>
        <v>0</v>
      </c>
      <c r="BM18" s="2"/>
      <c r="BO18" s="2" t="s">
        <v>362</v>
      </c>
      <c r="BQ18" s="10"/>
      <c r="BR18" s="10"/>
      <c r="BS18" s="10"/>
      <c r="BU18" s="10"/>
      <c r="BV18" s="10"/>
      <c r="BW18" s="10"/>
      <c r="BY18" s="2"/>
      <c r="BZ18" s="10">
        <f t="shared" si="17"/>
        <v>0</v>
      </c>
      <c r="CB18" s="2"/>
      <c r="CC18" s="10">
        <f t="shared" si="18"/>
        <v>0</v>
      </c>
    </row>
    <row r="19" spans="1:81" x14ac:dyDescent="0.25">
      <c r="A19" s="22" t="str">
        <f t="shared" si="0"/>
        <v/>
      </c>
      <c r="B19" s="10">
        <f t="shared" si="21"/>
        <v>0</v>
      </c>
      <c r="C19" s="2"/>
      <c r="D19" s="25"/>
      <c r="E19" s="12" t="str">
        <f t="shared" si="2"/>
        <v>SCM</v>
      </c>
      <c r="F19" s="30" t="s">
        <v>360</v>
      </c>
      <c r="G19" s="11">
        <f t="shared" si="3"/>
        <v>3</v>
      </c>
      <c r="H19" s="29" t="s">
        <v>375</v>
      </c>
      <c r="I19" s="32" t="s">
        <v>187</v>
      </c>
      <c r="J19" s="11">
        <f t="shared" si="20"/>
        <v>17</v>
      </c>
      <c r="M19" s="2" t="s">
        <v>169</v>
      </c>
      <c r="N19" s="10">
        <f t="shared" si="5"/>
        <v>17</v>
      </c>
      <c r="O19" s="10"/>
      <c r="P19" s="10" t="s">
        <v>223</v>
      </c>
      <c r="Q19" s="10">
        <f t="shared" si="23"/>
        <v>1</v>
      </c>
      <c r="R19" s="49" t="s">
        <v>187</v>
      </c>
      <c r="S19" s="10" t="s">
        <v>248</v>
      </c>
      <c r="T19" s="52" t="str">
        <f t="shared" si="7"/>
        <v>Community and Social Services [Non-core Function] - Cultural Matters</v>
      </c>
      <c r="U19" s="10">
        <f t="shared" si="19"/>
        <v>36</v>
      </c>
      <c r="W19" s="29"/>
      <c r="X19" s="29"/>
      <c r="Y19" s="10">
        <f t="shared" si="8"/>
        <v>0</v>
      </c>
      <c r="AA19" s="10"/>
      <c r="AB19" s="10"/>
      <c r="AC19" s="10"/>
      <c r="AE19" s="2"/>
      <c r="AF19" s="10">
        <f t="shared" si="9"/>
        <v>0</v>
      </c>
      <c r="AH19" s="2" t="s">
        <v>402</v>
      </c>
      <c r="AI19" s="10">
        <f t="shared" si="10"/>
        <v>17</v>
      </c>
      <c r="AK19" s="2"/>
      <c r="AL19" s="10">
        <f t="shared" si="11"/>
        <v>0</v>
      </c>
      <c r="AN19" s="2"/>
      <c r="AO19" s="5"/>
      <c r="AP19" s="8"/>
      <c r="AQ19" s="10">
        <f t="shared" si="12"/>
        <v>0</v>
      </c>
      <c r="AS19" s="2"/>
      <c r="AT19" s="10">
        <f t="shared" si="13"/>
        <v>0</v>
      </c>
      <c r="AV19" s="10"/>
      <c r="AW19" s="10"/>
      <c r="AX19" s="10"/>
      <c r="AZ19" s="10"/>
      <c r="BA19" s="10"/>
      <c r="BB19" s="10"/>
      <c r="BD19" s="29"/>
      <c r="BE19" s="29"/>
      <c r="BF19" s="10">
        <f t="shared" si="14"/>
        <v>0</v>
      </c>
      <c r="BH19" s="10">
        <f t="shared" si="22"/>
        <v>0</v>
      </c>
      <c r="BI19" s="2"/>
      <c r="BJ19" s="58">
        <v>16</v>
      </c>
      <c r="BL19" s="10">
        <f t="shared" si="16"/>
        <v>0</v>
      </c>
      <c r="BM19" s="2"/>
      <c r="BO19" s="2" t="s">
        <v>425</v>
      </c>
      <c r="BQ19" s="10"/>
      <c r="BR19" s="10"/>
      <c r="BS19" s="10"/>
      <c r="BU19" s="10"/>
      <c r="BV19" s="10"/>
      <c r="BW19" s="10"/>
      <c r="BY19" s="2"/>
      <c r="BZ19" s="10">
        <f t="shared" si="17"/>
        <v>0</v>
      </c>
      <c r="CB19" s="2"/>
      <c r="CC19" s="10">
        <f t="shared" si="18"/>
        <v>0</v>
      </c>
    </row>
    <row r="20" spans="1:81" x14ac:dyDescent="0.25">
      <c r="A20" s="22" t="str">
        <f t="shared" si="0"/>
        <v/>
      </c>
      <c r="B20" s="10">
        <f t="shared" si="21"/>
        <v>0</v>
      </c>
      <c r="C20" s="2"/>
      <c r="D20" s="25"/>
      <c r="E20" s="12" t="str">
        <f t="shared" si="2"/>
        <v>Control</v>
      </c>
      <c r="F20" s="30" t="s">
        <v>360</v>
      </c>
      <c r="G20" s="11">
        <f t="shared" si="3"/>
        <v>3</v>
      </c>
      <c r="H20" s="29" t="s">
        <v>376</v>
      </c>
      <c r="I20" s="32" t="s">
        <v>187</v>
      </c>
      <c r="J20" s="11">
        <f t="shared" si="20"/>
        <v>18</v>
      </c>
      <c r="M20" s="2"/>
      <c r="N20" s="10">
        <f t="shared" si="5"/>
        <v>0</v>
      </c>
      <c r="O20" s="10"/>
      <c r="P20" s="10" t="s">
        <v>223</v>
      </c>
      <c r="Q20" s="10">
        <f t="shared" si="23"/>
        <v>1</v>
      </c>
      <c r="R20" s="49" t="s">
        <v>187</v>
      </c>
      <c r="S20" s="10" t="s">
        <v>249</v>
      </c>
      <c r="T20" s="52" t="str">
        <f t="shared" si="7"/>
        <v>Community and Social Services [Non-core Function] - Disaster Management</v>
      </c>
      <c r="U20" s="10">
        <f t="shared" si="19"/>
        <v>37</v>
      </c>
      <c r="W20" s="29"/>
      <c r="X20" s="29"/>
      <c r="Y20" s="10">
        <f t="shared" si="8"/>
        <v>0</v>
      </c>
      <c r="AA20" s="10"/>
      <c r="AB20" s="10"/>
      <c r="AC20" s="10"/>
      <c r="AE20" s="2"/>
      <c r="AF20" s="10">
        <f t="shared" si="9"/>
        <v>0</v>
      </c>
      <c r="AH20" s="2" t="s">
        <v>403</v>
      </c>
      <c r="AI20" s="10">
        <f t="shared" si="10"/>
        <v>18</v>
      </c>
      <c r="AK20" s="2"/>
      <c r="AL20" s="10">
        <f t="shared" si="11"/>
        <v>0</v>
      </c>
      <c r="AN20" s="2"/>
      <c r="AO20" s="5"/>
      <c r="AP20" s="8"/>
      <c r="AQ20" s="10">
        <f t="shared" si="12"/>
        <v>0</v>
      </c>
      <c r="AS20" s="2"/>
      <c r="AT20" s="10">
        <f t="shared" si="13"/>
        <v>0</v>
      </c>
      <c r="AV20" s="10"/>
      <c r="AW20" s="10"/>
      <c r="AX20" s="10"/>
      <c r="AZ20" s="10"/>
      <c r="BA20" s="10"/>
      <c r="BB20" s="10"/>
      <c r="BD20" s="29"/>
      <c r="BE20" s="29"/>
      <c r="BF20" s="10">
        <f t="shared" si="14"/>
        <v>0</v>
      </c>
      <c r="BH20" s="10">
        <f t="shared" si="22"/>
        <v>0</v>
      </c>
      <c r="BI20" s="2"/>
      <c r="BJ20" s="58">
        <v>17</v>
      </c>
      <c r="BL20" s="10">
        <f t="shared" si="16"/>
        <v>0</v>
      </c>
      <c r="BM20" s="2"/>
      <c r="BO20" s="2" t="s">
        <v>683</v>
      </c>
      <c r="BQ20" s="10"/>
      <c r="BR20" s="10"/>
      <c r="BS20" s="10"/>
      <c r="BU20" s="10"/>
      <c r="BV20" s="10"/>
      <c r="BW20" s="10"/>
      <c r="BY20" s="2"/>
      <c r="BZ20" s="10">
        <f t="shared" si="17"/>
        <v>0</v>
      </c>
      <c r="CB20" s="2"/>
      <c r="CC20" s="10">
        <f t="shared" si="18"/>
        <v>0</v>
      </c>
    </row>
    <row r="21" spans="1:81" x14ac:dyDescent="0.25">
      <c r="A21" s="22" t="str">
        <f t="shared" si="0"/>
        <v/>
      </c>
      <c r="B21" s="10">
        <f t="shared" si="21"/>
        <v>0</v>
      </c>
      <c r="C21" s="2"/>
      <c r="D21" s="25"/>
      <c r="E21" s="12" t="str">
        <f t="shared" si="2"/>
        <v>Income &amp; Expenditure</v>
      </c>
      <c r="F21" s="30" t="s">
        <v>360</v>
      </c>
      <c r="G21" s="11">
        <f t="shared" si="3"/>
        <v>3</v>
      </c>
      <c r="H21" s="29" t="s">
        <v>377</v>
      </c>
      <c r="I21" s="32" t="s">
        <v>187</v>
      </c>
      <c r="J21" s="11">
        <f t="shared" si="20"/>
        <v>19</v>
      </c>
      <c r="M21" s="3"/>
      <c r="N21" s="10">
        <f t="shared" si="5"/>
        <v>0</v>
      </c>
      <c r="O21" s="10"/>
      <c r="P21" s="10" t="s">
        <v>223</v>
      </c>
      <c r="Q21" s="10">
        <f t="shared" si="23"/>
        <v>1</v>
      </c>
      <c r="R21" s="49" t="s">
        <v>187</v>
      </c>
      <c r="S21" s="10" t="s">
        <v>250</v>
      </c>
      <c r="T21" s="52" t="str">
        <f t="shared" si="7"/>
        <v>Community and Social Services [Non-core Function] - Education</v>
      </c>
      <c r="U21" s="10">
        <f t="shared" si="19"/>
        <v>38</v>
      </c>
      <c r="W21" s="29"/>
      <c r="X21" s="29"/>
      <c r="Y21" s="10">
        <f t="shared" si="8"/>
        <v>0</v>
      </c>
      <c r="AA21" s="10"/>
      <c r="AB21" s="10"/>
      <c r="AC21" s="10"/>
      <c r="AE21" s="2"/>
      <c r="AF21" s="10">
        <f t="shared" si="9"/>
        <v>0</v>
      </c>
      <c r="AH21" s="2" t="s">
        <v>404</v>
      </c>
      <c r="AI21" s="10">
        <f t="shared" si="10"/>
        <v>19</v>
      </c>
      <c r="AK21" s="2"/>
      <c r="AL21" s="10">
        <f t="shared" si="11"/>
        <v>0</v>
      </c>
      <c r="AN21" s="2"/>
      <c r="AO21" s="5"/>
      <c r="AP21" s="8"/>
      <c r="AQ21" s="10">
        <f t="shared" si="12"/>
        <v>0</v>
      </c>
      <c r="AS21" s="2"/>
      <c r="AT21" s="10">
        <f t="shared" si="13"/>
        <v>0</v>
      </c>
      <c r="AV21" s="10"/>
      <c r="AW21" s="10"/>
      <c r="AX21" s="10"/>
      <c r="AZ21" s="10"/>
      <c r="BA21" s="10"/>
      <c r="BB21" s="10"/>
      <c r="BD21" s="29"/>
      <c r="BE21" s="29"/>
      <c r="BF21" s="10">
        <f t="shared" si="14"/>
        <v>0</v>
      </c>
      <c r="BH21" s="10">
        <f t="shared" si="22"/>
        <v>0</v>
      </c>
      <c r="BI21" s="2"/>
      <c r="BJ21" s="58">
        <v>18</v>
      </c>
      <c r="BL21" s="10">
        <f t="shared" si="16"/>
        <v>0</v>
      </c>
      <c r="BM21" s="2"/>
      <c r="BO21" s="2" t="s">
        <v>426</v>
      </c>
      <c r="BQ21" s="10"/>
      <c r="BR21" s="10"/>
      <c r="BS21" s="10"/>
      <c r="BU21" s="10"/>
      <c r="BV21" s="10"/>
      <c r="BW21" s="10"/>
      <c r="BY21" s="2"/>
      <c r="BZ21" s="10">
        <f t="shared" si="17"/>
        <v>0</v>
      </c>
      <c r="CB21" s="2"/>
      <c r="CC21" s="10">
        <f t="shared" si="18"/>
        <v>0</v>
      </c>
    </row>
    <row r="22" spans="1:81" x14ac:dyDescent="0.25">
      <c r="A22" s="22" t="str">
        <f t="shared" si="0"/>
        <v/>
      </c>
      <c r="B22" s="10">
        <f t="shared" si="21"/>
        <v>0</v>
      </c>
      <c r="C22" s="2"/>
      <c r="D22" s="25"/>
      <c r="E22" s="12" t="str">
        <f t="shared" si="2"/>
        <v>Information Technology</v>
      </c>
      <c r="F22" s="30" t="s">
        <v>360</v>
      </c>
      <c r="G22" s="11">
        <f t="shared" si="3"/>
        <v>3</v>
      </c>
      <c r="H22" s="29" t="s">
        <v>273</v>
      </c>
      <c r="I22" s="32" t="s">
        <v>187</v>
      </c>
      <c r="J22" s="11">
        <f t="shared" si="20"/>
        <v>20</v>
      </c>
      <c r="M22" s="54"/>
      <c r="N22" s="10"/>
      <c r="O22" s="10"/>
      <c r="P22" s="10" t="s">
        <v>223</v>
      </c>
      <c r="Q22" s="10">
        <f t="shared" si="23"/>
        <v>1</v>
      </c>
      <c r="R22" s="49" t="s">
        <v>187</v>
      </c>
      <c r="S22" s="10" t="s">
        <v>251</v>
      </c>
      <c r="T22" s="52" t="str">
        <f t="shared" si="7"/>
        <v>Community and Social Services [Non-core Function] - Indigenous and Customary Law</v>
      </c>
      <c r="U22" s="10">
        <f t="shared" si="19"/>
        <v>39</v>
      </c>
      <c r="W22" s="29"/>
      <c r="X22" s="29"/>
      <c r="Y22" s="10">
        <f t="shared" si="8"/>
        <v>0</v>
      </c>
      <c r="AA22" s="10"/>
      <c r="AB22" s="10"/>
      <c r="AC22" s="10"/>
      <c r="AE22" s="2"/>
      <c r="AF22" s="10">
        <f t="shared" si="9"/>
        <v>0</v>
      </c>
      <c r="AH22" s="2" t="s">
        <v>405</v>
      </c>
      <c r="AI22" s="10">
        <f t="shared" si="10"/>
        <v>20</v>
      </c>
      <c r="AK22" s="2"/>
      <c r="AL22" s="10">
        <f t="shared" si="11"/>
        <v>0</v>
      </c>
      <c r="AN22" s="2"/>
      <c r="AO22" s="5"/>
      <c r="AP22" s="8"/>
      <c r="AQ22" s="10">
        <f t="shared" si="12"/>
        <v>0</v>
      </c>
      <c r="AS22" s="2"/>
      <c r="AT22" s="10">
        <f t="shared" si="13"/>
        <v>0</v>
      </c>
      <c r="AV22" s="10"/>
      <c r="AW22" s="10"/>
      <c r="AX22" s="10"/>
      <c r="AZ22" s="10"/>
      <c r="BA22" s="10"/>
      <c r="BB22" s="10"/>
      <c r="BD22" s="33"/>
      <c r="BE22" s="33"/>
      <c r="BF22" s="10">
        <f t="shared" si="14"/>
        <v>0</v>
      </c>
      <c r="BH22" s="10">
        <f t="shared" si="22"/>
        <v>0</v>
      </c>
      <c r="BI22" s="2"/>
      <c r="BJ22" s="58">
        <v>19</v>
      </c>
      <c r="BL22" s="10">
        <f t="shared" si="16"/>
        <v>0</v>
      </c>
      <c r="BM22" s="2"/>
      <c r="BO22" s="2" t="s">
        <v>427</v>
      </c>
      <c r="BQ22" s="10"/>
      <c r="BR22" s="10"/>
      <c r="BS22" s="10"/>
      <c r="BU22" s="10"/>
      <c r="BV22" s="10"/>
      <c r="BW22" s="10"/>
      <c r="BY22" s="2"/>
      <c r="BZ22" s="10">
        <f t="shared" si="17"/>
        <v>0</v>
      </c>
      <c r="CB22" s="2"/>
      <c r="CC22" s="10">
        <f t="shared" si="18"/>
        <v>0</v>
      </c>
    </row>
    <row r="23" spans="1:81" x14ac:dyDescent="0.25">
      <c r="A23" s="22" t="str">
        <f t="shared" si="0"/>
        <v/>
      </c>
      <c r="B23" s="10">
        <f t="shared" si="21"/>
        <v>0</v>
      </c>
      <c r="C23" s="2"/>
      <c r="D23" s="25"/>
      <c r="E23" s="12" t="str">
        <f t="shared" si="2"/>
        <v>Resorts</v>
      </c>
      <c r="F23" s="30" t="s">
        <v>360</v>
      </c>
      <c r="G23" s="11">
        <f t="shared" si="3"/>
        <v>3</v>
      </c>
      <c r="H23" s="29" t="s">
        <v>378</v>
      </c>
      <c r="I23" s="32" t="s">
        <v>187</v>
      </c>
      <c r="J23" s="11">
        <f t="shared" si="20"/>
        <v>21</v>
      </c>
      <c r="M23" s="54"/>
      <c r="N23" s="10"/>
      <c r="O23" s="10"/>
      <c r="P23" s="10" t="s">
        <v>223</v>
      </c>
      <c r="Q23" s="10">
        <f t="shared" si="23"/>
        <v>1</v>
      </c>
      <c r="R23" s="49" t="s">
        <v>187</v>
      </c>
      <c r="S23" s="10" t="s">
        <v>252</v>
      </c>
      <c r="T23" s="52" t="str">
        <f t="shared" si="7"/>
        <v>Community and Social Services [Non-core Function] - Industrial Promotion</v>
      </c>
      <c r="U23" s="10">
        <f t="shared" si="19"/>
        <v>40</v>
      </c>
      <c r="W23" s="29"/>
      <c r="X23" s="29"/>
      <c r="Y23" s="10">
        <f t="shared" si="8"/>
        <v>0</v>
      </c>
      <c r="AA23" s="10"/>
      <c r="AB23" s="10"/>
      <c r="AC23" s="10"/>
      <c r="AE23" s="2"/>
      <c r="AF23" s="10">
        <f t="shared" si="9"/>
        <v>0</v>
      </c>
      <c r="AH23" s="2" t="s">
        <v>406</v>
      </c>
      <c r="AI23" s="10">
        <f t="shared" si="10"/>
        <v>21</v>
      </c>
      <c r="AK23" s="2"/>
      <c r="AL23" s="10">
        <f t="shared" si="11"/>
        <v>0</v>
      </c>
      <c r="AN23" s="2"/>
      <c r="AO23" s="5"/>
      <c r="AP23" s="8"/>
      <c r="AQ23" s="10">
        <f t="shared" si="12"/>
        <v>0</v>
      </c>
      <c r="AS23" s="2"/>
      <c r="AT23" s="10">
        <f t="shared" si="13"/>
        <v>0</v>
      </c>
      <c r="AV23" s="10"/>
      <c r="AW23" s="10"/>
      <c r="AX23" s="10"/>
      <c r="AZ23" s="10"/>
      <c r="BA23" s="10"/>
      <c r="BB23" s="10"/>
      <c r="BD23" s="10"/>
      <c r="BE23" s="10"/>
      <c r="BF23" s="10"/>
      <c r="BH23" s="10">
        <f t="shared" si="22"/>
        <v>0</v>
      </c>
      <c r="BI23" s="2"/>
      <c r="BJ23" s="58">
        <v>20</v>
      </c>
      <c r="BL23" s="10">
        <f t="shared" si="16"/>
        <v>0</v>
      </c>
      <c r="BM23" s="2"/>
      <c r="BO23" s="2" t="s">
        <v>428</v>
      </c>
      <c r="BQ23" s="10"/>
      <c r="BR23" s="10"/>
      <c r="BS23" s="10"/>
      <c r="BU23" s="10"/>
      <c r="BV23" s="10"/>
      <c r="BW23" s="10"/>
      <c r="BY23" s="2"/>
      <c r="BZ23" s="10">
        <f t="shared" si="17"/>
        <v>0</v>
      </c>
      <c r="CB23" s="2"/>
      <c r="CC23" s="10">
        <f t="shared" si="18"/>
        <v>0</v>
      </c>
    </row>
    <row r="24" spans="1:81" x14ac:dyDescent="0.25">
      <c r="A24" s="22" t="str">
        <f t="shared" si="0"/>
        <v/>
      </c>
      <c r="B24" s="10">
        <f t="shared" si="21"/>
        <v>0</v>
      </c>
      <c r="C24" s="2"/>
      <c r="D24" s="25"/>
      <c r="E24" s="12" t="str">
        <f t="shared" si="2"/>
        <v>Director: Technical Services</v>
      </c>
      <c r="F24" s="30" t="s">
        <v>361</v>
      </c>
      <c r="G24" s="11">
        <f t="shared" si="3"/>
        <v>4</v>
      </c>
      <c r="H24" s="29" t="s">
        <v>379</v>
      </c>
      <c r="I24" s="32" t="s">
        <v>185</v>
      </c>
      <c r="J24" s="11">
        <f t="shared" si="20"/>
        <v>22</v>
      </c>
      <c r="M24" s="54"/>
      <c r="N24" s="10"/>
      <c r="O24" s="10"/>
      <c r="P24" s="10" t="s">
        <v>223</v>
      </c>
      <c r="Q24" s="10">
        <f t="shared" si="23"/>
        <v>1</v>
      </c>
      <c r="R24" s="49" t="s">
        <v>187</v>
      </c>
      <c r="S24" s="10" t="s">
        <v>253</v>
      </c>
      <c r="T24" s="52" t="str">
        <f t="shared" si="7"/>
        <v>Community and Social Services [Non-core Function] - Language Policy</v>
      </c>
      <c r="U24" s="10">
        <f t="shared" si="19"/>
        <v>41</v>
      </c>
      <c r="W24" s="29"/>
      <c r="X24" s="29"/>
      <c r="Y24" s="10">
        <f t="shared" si="8"/>
        <v>0</v>
      </c>
      <c r="AA24" s="10"/>
      <c r="AB24" s="10"/>
      <c r="AC24" s="10"/>
      <c r="AE24" s="2"/>
      <c r="AF24" s="10">
        <f t="shared" si="9"/>
        <v>0</v>
      </c>
      <c r="AH24" s="2" t="s">
        <v>407</v>
      </c>
      <c r="AI24" s="10">
        <f t="shared" si="10"/>
        <v>22</v>
      </c>
      <c r="AK24" s="2"/>
      <c r="AL24" s="10">
        <f t="shared" si="11"/>
        <v>0</v>
      </c>
      <c r="AN24" s="2"/>
      <c r="AO24" s="5"/>
      <c r="AP24" s="8"/>
      <c r="AQ24" s="10">
        <f t="shared" si="12"/>
        <v>0</v>
      </c>
      <c r="AS24" s="2"/>
      <c r="AT24" s="10">
        <f t="shared" si="13"/>
        <v>0</v>
      </c>
      <c r="AV24" s="10"/>
      <c r="AW24" s="10"/>
      <c r="AX24" s="10"/>
      <c r="AZ24" s="10"/>
      <c r="BA24" s="10"/>
      <c r="BB24" s="10"/>
      <c r="BD24" s="10"/>
      <c r="BE24" s="10"/>
      <c r="BF24" s="10"/>
      <c r="BH24" s="10">
        <f t="shared" si="22"/>
        <v>0</v>
      </c>
      <c r="BI24" s="2"/>
      <c r="BJ24" s="58">
        <v>21</v>
      </c>
      <c r="BL24" s="10">
        <f t="shared" si="16"/>
        <v>0</v>
      </c>
      <c r="BM24" s="2"/>
      <c r="BO24" s="2" t="s">
        <v>429</v>
      </c>
      <c r="BQ24" s="10"/>
      <c r="BR24" s="10"/>
      <c r="BS24" s="10"/>
      <c r="BU24" s="10"/>
      <c r="BV24" s="10"/>
      <c r="BW24" s="10"/>
      <c r="BY24" s="2"/>
      <c r="BZ24" s="10">
        <f t="shared" si="17"/>
        <v>0</v>
      </c>
      <c r="CB24" s="2"/>
      <c r="CC24" s="10">
        <f t="shared" si="18"/>
        <v>0</v>
      </c>
    </row>
    <row r="25" spans="1:81" x14ac:dyDescent="0.25">
      <c r="A25" s="22" t="str">
        <f t="shared" si="0"/>
        <v/>
      </c>
      <c r="B25" s="10">
        <f t="shared" si="21"/>
        <v>0</v>
      </c>
      <c r="C25" s="2"/>
      <c r="D25" s="25"/>
      <c r="E25" s="12" t="str">
        <f t="shared" si="2"/>
        <v>Roads</v>
      </c>
      <c r="F25" s="30" t="s">
        <v>361</v>
      </c>
      <c r="G25" s="11">
        <f t="shared" si="3"/>
        <v>4</v>
      </c>
      <c r="H25" s="29" t="s">
        <v>312</v>
      </c>
      <c r="I25" s="32" t="s">
        <v>187</v>
      </c>
      <c r="J25" s="11">
        <f t="shared" si="20"/>
        <v>23</v>
      </c>
      <c r="M25" s="54"/>
      <c r="N25" s="10"/>
      <c r="O25" s="10"/>
      <c r="P25" s="10" t="s">
        <v>223</v>
      </c>
      <c r="Q25" s="10">
        <f t="shared" si="23"/>
        <v>1</v>
      </c>
      <c r="R25" s="49" t="s">
        <v>187</v>
      </c>
      <c r="S25" s="10" t="s">
        <v>241</v>
      </c>
      <c r="T25" s="52" t="str">
        <f t="shared" si="7"/>
        <v>Community and Social Services [Non-core Function] - Libraries and Archives</v>
      </c>
      <c r="U25" s="10">
        <f t="shared" si="19"/>
        <v>42</v>
      </c>
      <c r="W25" s="29"/>
      <c r="X25" s="29"/>
      <c r="Y25" s="10">
        <f t="shared" si="8"/>
        <v>0</v>
      </c>
      <c r="AA25" s="10"/>
      <c r="AB25" s="10"/>
      <c r="AC25" s="10"/>
      <c r="AE25" s="2"/>
      <c r="AF25" s="10">
        <f t="shared" si="9"/>
        <v>0</v>
      </c>
      <c r="AH25" s="2" t="s">
        <v>408</v>
      </c>
      <c r="AI25" s="10">
        <f t="shared" si="10"/>
        <v>23</v>
      </c>
      <c r="AK25" s="2"/>
      <c r="AL25" s="10">
        <f t="shared" si="11"/>
        <v>0</v>
      </c>
      <c r="AN25" s="2"/>
      <c r="AO25" s="5"/>
      <c r="AP25" s="8"/>
      <c r="AQ25" s="10">
        <f t="shared" si="12"/>
        <v>0</v>
      </c>
      <c r="AS25" s="2"/>
      <c r="AT25" s="10">
        <f t="shared" si="13"/>
        <v>0</v>
      </c>
      <c r="AV25" s="10"/>
      <c r="AW25" s="10"/>
      <c r="AX25" s="10"/>
      <c r="AZ25" s="10"/>
      <c r="BA25" s="10"/>
      <c r="BB25" s="10"/>
      <c r="BD25" s="10"/>
      <c r="BE25" s="10"/>
      <c r="BF25" s="10"/>
      <c r="BH25" s="10">
        <f t="shared" si="22"/>
        <v>0</v>
      </c>
      <c r="BI25" s="2"/>
      <c r="BJ25" s="58">
        <v>22</v>
      </c>
      <c r="BL25" s="10">
        <f t="shared" si="16"/>
        <v>0</v>
      </c>
      <c r="BM25" s="2"/>
      <c r="BO25" s="2"/>
      <c r="BQ25" s="10"/>
      <c r="BR25" s="10"/>
      <c r="BS25" s="10"/>
      <c r="BU25" s="10"/>
      <c r="BV25" s="10"/>
      <c r="BW25" s="10"/>
      <c r="BY25" s="2"/>
      <c r="BZ25" s="10">
        <f t="shared" si="17"/>
        <v>0</v>
      </c>
      <c r="CB25" s="2"/>
      <c r="CC25" s="10">
        <f t="shared" si="18"/>
        <v>0</v>
      </c>
    </row>
    <row r="26" spans="1:81" x14ac:dyDescent="0.25">
      <c r="A26" s="22" t="str">
        <f t="shared" si="0"/>
        <v/>
      </c>
      <c r="B26" s="10">
        <f t="shared" si="21"/>
        <v>0</v>
      </c>
      <c r="C26" s="3"/>
      <c r="D26" s="25"/>
      <c r="E26" s="12" t="str">
        <f t="shared" si="2"/>
        <v>Spatial Planning</v>
      </c>
      <c r="F26" s="30" t="s">
        <v>361</v>
      </c>
      <c r="G26" s="11">
        <f t="shared" si="3"/>
        <v>4</v>
      </c>
      <c r="H26" s="29" t="s">
        <v>380</v>
      </c>
      <c r="I26" s="32" t="s">
        <v>187</v>
      </c>
      <c r="J26" s="11">
        <f t="shared" si="20"/>
        <v>24</v>
      </c>
      <c r="M26" s="54"/>
      <c r="N26" s="10"/>
      <c r="O26" s="10"/>
      <c r="P26" s="10" t="s">
        <v>223</v>
      </c>
      <c r="Q26" s="10">
        <f t="shared" si="23"/>
        <v>1</v>
      </c>
      <c r="R26" s="49" t="s">
        <v>187</v>
      </c>
      <c r="S26" s="10" t="s">
        <v>242</v>
      </c>
      <c r="T26" s="52" t="str">
        <f t="shared" si="7"/>
        <v>Community and Social Services [Non-core Function] - Literacy Programmes</v>
      </c>
      <c r="U26" s="10">
        <f t="shared" si="19"/>
        <v>43</v>
      </c>
      <c r="W26" s="29"/>
      <c r="X26" s="29"/>
      <c r="Y26" s="10">
        <f t="shared" si="8"/>
        <v>0</v>
      </c>
      <c r="AA26" s="10"/>
      <c r="AB26" s="10"/>
      <c r="AC26" s="10"/>
      <c r="AE26" s="2"/>
      <c r="AF26" s="10">
        <f t="shared" ref="AF26:AF51" si="24">IF(LEN(AE26)&gt;0,AF25+1,0)</f>
        <v>0</v>
      </c>
      <c r="AH26" s="2" t="s">
        <v>409</v>
      </c>
      <c r="AI26" s="10">
        <f t="shared" ref="AI26:AI51" si="25">IF(LEN(AH26)&gt;0,AI25+1,0)</f>
        <v>24</v>
      </c>
      <c r="AK26" s="2"/>
      <c r="AL26" s="10">
        <f t="shared" ref="AL26:AL51" si="26">IF(LEN(AK26)&gt;0,AL25+1,0)</f>
        <v>0</v>
      </c>
      <c r="AN26" s="2"/>
      <c r="AO26" s="5"/>
      <c r="AP26" s="8"/>
      <c r="AQ26" s="10">
        <f t="shared" si="12"/>
        <v>0</v>
      </c>
      <c r="AS26" s="2"/>
      <c r="AT26" s="10">
        <f t="shared" ref="AT26:AT51" si="27">IF(LEN(AS26)&gt;0,AT25+1,0)</f>
        <v>0</v>
      </c>
      <c r="AV26" s="10"/>
      <c r="AW26" s="10"/>
      <c r="AX26" s="10"/>
      <c r="AZ26" s="10"/>
      <c r="BA26" s="10"/>
      <c r="BB26" s="10"/>
      <c r="BD26" s="10"/>
      <c r="BE26" s="10"/>
      <c r="BF26" s="10"/>
      <c r="BH26" s="10">
        <f t="shared" si="22"/>
        <v>0</v>
      </c>
      <c r="BI26" s="2"/>
      <c r="BJ26" s="58">
        <v>23</v>
      </c>
      <c r="BL26" s="10">
        <f t="shared" si="16"/>
        <v>0</v>
      </c>
      <c r="BM26" s="2"/>
      <c r="BO26" s="2"/>
      <c r="BQ26" s="10"/>
      <c r="BR26" s="10"/>
      <c r="BS26" s="10"/>
      <c r="BU26" s="10"/>
      <c r="BV26" s="10"/>
      <c r="BW26" s="10"/>
      <c r="BY26" s="2"/>
      <c r="BZ26" s="10">
        <f t="shared" ref="BZ26:BZ51" si="28">IF(LEN(BY26)&gt;0,BZ25+1,0)</f>
        <v>0</v>
      </c>
      <c r="CB26" s="2"/>
      <c r="CC26" s="10">
        <f t="shared" si="18"/>
        <v>0</v>
      </c>
    </row>
    <row r="27" spans="1:81" x14ac:dyDescent="0.25">
      <c r="E27" s="12" t="str">
        <f t="shared" si="2"/>
        <v>Waterworks</v>
      </c>
      <c r="F27" s="30" t="s">
        <v>361</v>
      </c>
      <c r="G27" s="11">
        <f t="shared" si="3"/>
        <v>4</v>
      </c>
      <c r="H27" s="29" t="s">
        <v>381</v>
      </c>
      <c r="I27" s="32" t="s">
        <v>187</v>
      </c>
      <c r="J27" s="11">
        <f t="shared" si="20"/>
        <v>25</v>
      </c>
      <c r="M27" s="54"/>
      <c r="N27" s="10"/>
      <c r="O27" s="10"/>
      <c r="P27" s="10" t="s">
        <v>223</v>
      </c>
      <c r="Q27" s="10">
        <f t="shared" si="23"/>
        <v>1</v>
      </c>
      <c r="R27" s="49" t="s">
        <v>187</v>
      </c>
      <c r="S27" s="10" t="s">
        <v>254</v>
      </c>
      <c r="T27" s="52" t="str">
        <f t="shared" si="7"/>
        <v>Community and Social Services [Non-core Function] - Media Services</v>
      </c>
      <c r="U27" s="10">
        <f t="shared" si="19"/>
        <v>44</v>
      </c>
      <c r="W27" s="29"/>
      <c r="X27" s="29"/>
      <c r="Y27" s="10">
        <f t="shared" ref="Y27:Y51" si="29">IF(LEN(W27)&gt;0,Y26+1,0)</f>
        <v>0</v>
      </c>
      <c r="AA27" s="10"/>
      <c r="AB27" s="10"/>
      <c r="AC27" s="10"/>
      <c r="AE27" s="2"/>
      <c r="AF27" s="10">
        <f t="shared" si="24"/>
        <v>0</v>
      </c>
      <c r="AH27" s="2" t="s">
        <v>410</v>
      </c>
      <c r="AI27" s="10">
        <f t="shared" si="25"/>
        <v>25</v>
      </c>
      <c r="AK27" s="2"/>
      <c r="AL27" s="10">
        <f t="shared" si="26"/>
        <v>0</v>
      </c>
      <c r="AN27" s="2"/>
      <c r="AO27" s="5"/>
      <c r="AP27" s="8"/>
      <c r="AQ27" s="10">
        <f t="shared" ref="AQ27:AQ51" si="30">IF(LEN(AN27)&gt;0,AQ26+1,0)</f>
        <v>0</v>
      </c>
      <c r="AS27" s="2"/>
      <c r="AT27" s="10">
        <f t="shared" si="27"/>
        <v>0</v>
      </c>
      <c r="AV27" s="10"/>
      <c r="AW27" s="10"/>
      <c r="AX27" s="10"/>
      <c r="AZ27" s="10"/>
      <c r="BA27" s="10"/>
      <c r="BB27" s="10"/>
      <c r="BD27" s="10"/>
      <c r="BE27" s="10"/>
      <c r="BF27" s="10"/>
      <c r="BH27" s="10">
        <f t="shared" ref="BH27:BH51" si="31">IF(LEN(BI27)&gt;0,BH26+1,0)</f>
        <v>0</v>
      </c>
      <c r="BI27" s="2"/>
      <c r="BJ27" s="58">
        <v>24</v>
      </c>
      <c r="BL27" s="10">
        <f t="shared" si="16"/>
        <v>0</v>
      </c>
      <c r="BM27" s="2"/>
      <c r="BO27" s="2"/>
      <c r="BQ27" s="10"/>
      <c r="BR27" s="10"/>
      <c r="BS27" s="10"/>
      <c r="BU27" s="10"/>
      <c r="BV27" s="10"/>
      <c r="BW27" s="10"/>
      <c r="BY27" s="2"/>
      <c r="BZ27" s="10">
        <f t="shared" si="28"/>
        <v>0</v>
      </c>
      <c r="CB27" s="2"/>
      <c r="CC27" s="10">
        <f t="shared" si="18"/>
        <v>0</v>
      </c>
    </row>
    <row r="28" spans="1:81" x14ac:dyDescent="0.25">
      <c r="E28" s="12" t="str">
        <f t="shared" si="2"/>
        <v/>
      </c>
      <c r="F28" s="30"/>
      <c r="G28" s="11" t="str">
        <f t="shared" si="3"/>
        <v/>
      </c>
      <c r="H28" s="29"/>
      <c r="I28" s="32"/>
      <c r="J28" s="11">
        <f t="shared" si="20"/>
        <v>26</v>
      </c>
      <c r="M28" s="54"/>
      <c r="N28" s="10"/>
      <c r="O28" s="10"/>
      <c r="P28" s="10" t="s">
        <v>223</v>
      </c>
      <c r="Q28" s="10">
        <f t="shared" si="23"/>
        <v>1</v>
      </c>
      <c r="R28" s="49" t="s">
        <v>187</v>
      </c>
      <c r="S28" s="10" t="s">
        <v>243</v>
      </c>
      <c r="T28" s="52" t="str">
        <f t="shared" si="7"/>
        <v>Community and Social Services [Non-core Function] - Museums and Art Galleries</v>
      </c>
      <c r="U28" s="10">
        <f t="shared" si="19"/>
        <v>45</v>
      </c>
      <c r="W28" s="29"/>
      <c r="X28" s="29"/>
      <c r="Y28" s="10">
        <f t="shared" si="29"/>
        <v>0</v>
      </c>
      <c r="AE28" s="2"/>
      <c r="AF28" s="10">
        <f t="shared" si="24"/>
        <v>0</v>
      </c>
      <c r="AH28" s="2" t="s">
        <v>411</v>
      </c>
      <c r="AI28" s="10">
        <f t="shared" si="25"/>
        <v>26</v>
      </c>
      <c r="AK28" s="2"/>
      <c r="AL28" s="10">
        <f t="shared" si="26"/>
        <v>0</v>
      </c>
      <c r="AN28" s="2"/>
      <c r="AO28" s="5"/>
      <c r="AP28" s="8"/>
      <c r="AQ28" s="10">
        <f t="shared" si="30"/>
        <v>0</v>
      </c>
      <c r="AS28" s="2"/>
      <c r="AT28" s="10">
        <f t="shared" si="27"/>
        <v>0</v>
      </c>
      <c r="BH28" s="10">
        <f t="shared" si="31"/>
        <v>0</v>
      </c>
      <c r="BI28" s="2"/>
      <c r="BJ28" s="58">
        <v>25</v>
      </c>
      <c r="BL28" s="10">
        <f t="shared" si="16"/>
        <v>0</v>
      </c>
      <c r="BM28" s="2"/>
      <c r="BO28" s="2"/>
      <c r="BY28" s="2"/>
      <c r="BZ28" s="10">
        <f t="shared" si="28"/>
        <v>0</v>
      </c>
      <c r="CB28" s="2"/>
      <c r="CC28" s="10">
        <f t="shared" si="18"/>
        <v>0</v>
      </c>
    </row>
    <row r="29" spans="1:81" x14ac:dyDescent="0.25">
      <c r="E29" s="12" t="str">
        <f t="shared" si="2"/>
        <v/>
      </c>
      <c r="F29" s="30"/>
      <c r="G29" s="11" t="str">
        <f t="shared" si="3"/>
        <v/>
      </c>
      <c r="H29" s="29"/>
      <c r="I29" s="32"/>
      <c r="J29" s="11">
        <f t="shared" si="20"/>
        <v>27</v>
      </c>
      <c r="M29" s="54"/>
      <c r="N29" s="10"/>
      <c r="O29" s="10"/>
      <c r="P29" s="10" t="s">
        <v>223</v>
      </c>
      <c r="Q29" s="10">
        <f t="shared" si="23"/>
        <v>1</v>
      </c>
      <c r="R29" s="49" t="s">
        <v>187</v>
      </c>
      <c r="S29" s="10" t="s">
        <v>255</v>
      </c>
      <c r="T29" s="52" t="str">
        <f t="shared" si="7"/>
        <v>Community and Social Services [Non-core Function] - Population Development</v>
      </c>
      <c r="U29" s="10">
        <f t="shared" si="19"/>
        <v>46</v>
      </c>
      <c r="W29" s="29"/>
      <c r="X29" s="29"/>
      <c r="Y29" s="10">
        <f t="shared" si="29"/>
        <v>0</v>
      </c>
      <c r="AE29" s="2"/>
      <c r="AF29" s="10">
        <f t="shared" si="24"/>
        <v>0</v>
      </c>
      <c r="AH29" s="2" t="s">
        <v>80</v>
      </c>
      <c r="AI29" s="10">
        <f t="shared" si="25"/>
        <v>27</v>
      </c>
      <c r="AK29" s="2"/>
      <c r="AL29" s="10">
        <f t="shared" si="26"/>
        <v>0</v>
      </c>
      <c r="AN29" s="2"/>
      <c r="AO29" s="5"/>
      <c r="AP29" s="8"/>
      <c r="AQ29" s="10">
        <f t="shared" si="30"/>
        <v>0</v>
      </c>
      <c r="AS29" s="2"/>
      <c r="AT29" s="10">
        <f t="shared" si="27"/>
        <v>0</v>
      </c>
      <c r="BH29" s="10">
        <f t="shared" si="31"/>
        <v>0</v>
      </c>
      <c r="BI29" s="2"/>
      <c r="BJ29" s="58">
        <v>26</v>
      </c>
      <c r="BL29" s="10">
        <f t="shared" si="16"/>
        <v>0</v>
      </c>
      <c r="BM29" s="2"/>
      <c r="BO29" s="2"/>
      <c r="BY29" s="2"/>
      <c r="BZ29" s="10">
        <f t="shared" si="28"/>
        <v>0</v>
      </c>
      <c r="CB29" s="2"/>
      <c r="CC29" s="10">
        <f t="shared" si="18"/>
        <v>0</v>
      </c>
    </row>
    <row r="30" spans="1:81" x14ac:dyDescent="0.25">
      <c r="E30" s="12" t="str">
        <f t="shared" si="2"/>
        <v/>
      </c>
      <c r="F30" s="30"/>
      <c r="G30" s="11" t="str">
        <f t="shared" si="3"/>
        <v/>
      </c>
      <c r="H30" s="29"/>
      <c r="I30" s="32"/>
      <c r="J30" s="11">
        <f t="shared" si="20"/>
        <v>28</v>
      </c>
      <c r="M30" s="54"/>
      <c r="N30" s="10"/>
      <c r="O30" s="10"/>
      <c r="P30" s="10" t="s">
        <v>223</v>
      </c>
      <c r="Q30" s="10">
        <f t="shared" si="23"/>
        <v>1</v>
      </c>
      <c r="R30" s="49" t="s">
        <v>187</v>
      </c>
      <c r="S30" s="10" t="s">
        <v>256</v>
      </c>
      <c r="T30" s="52" t="str">
        <f t="shared" si="7"/>
        <v>Community and Social Services [Non-core Function] - Provincial Cultural Matters</v>
      </c>
      <c r="U30" s="10">
        <f t="shared" si="19"/>
        <v>47</v>
      </c>
      <c r="W30" s="29"/>
      <c r="X30" s="29"/>
      <c r="Y30" s="10">
        <f t="shared" si="29"/>
        <v>0</v>
      </c>
      <c r="AE30" s="2"/>
      <c r="AF30" s="10">
        <f t="shared" si="24"/>
        <v>0</v>
      </c>
      <c r="AH30" s="2"/>
      <c r="AI30" s="10">
        <f t="shared" si="25"/>
        <v>0</v>
      </c>
      <c r="AK30" s="2"/>
      <c r="AL30" s="10">
        <f t="shared" si="26"/>
        <v>0</v>
      </c>
      <c r="AN30" s="2"/>
      <c r="AO30" s="5"/>
      <c r="AP30" s="8"/>
      <c r="AQ30" s="10">
        <f t="shared" si="30"/>
        <v>0</v>
      </c>
      <c r="AS30" s="2"/>
      <c r="AT30" s="10">
        <f t="shared" si="27"/>
        <v>0</v>
      </c>
      <c r="BH30" s="10">
        <f t="shared" si="31"/>
        <v>0</v>
      </c>
      <c r="BI30" s="2"/>
      <c r="BJ30" s="58"/>
      <c r="BL30" s="10">
        <f t="shared" si="16"/>
        <v>0</v>
      </c>
      <c r="BM30" s="2"/>
      <c r="BO30" s="2"/>
      <c r="BY30" s="2"/>
      <c r="BZ30" s="10">
        <f t="shared" si="28"/>
        <v>0</v>
      </c>
      <c r="CB30" s="2"/>
      <c r="CC30" s="10">
        <f t="shared" si="18"/>
        <v>0</v>
      </c>
    </row>
    <row r="31" spans="1:81" x14ac:dyDescent="0.25">
      <c r="E31" s="12" t="str">
        <f t="shared" si="2"/>
        <v/>
      </c>
      <c r="F31" s="30"/>
      <c r="G31" s="11" t="str">
        <f t="shared" si="3"/>
        <v/>
      </c>
      <c r="H31" s="29"/>
      <c r="I31" s="32"/>
      <c r="J31" s="11">
        <f t="shared" si="20"/>
        <v>29</v>
      </c>
      <c r="M31" s="54"/>
      <c r="N31" s="10"/>
      <c r="O31" s="10"/>
      <c r="P31" s="10" t="s">
        <v>223</v>
      </c>
      <c r="Q31" s="10">
        <f t="shared" si="23"/>
        <v>1</v>
      </c>
      <c r="R31" s="49" t="s">
        <v>187</v>
      </c>
      <c r="S31" s="10" t="s">
        <v>244</v>
      </c>
      <c r="T31" s="52" t="str">
        <f t="shared" si="7"/>
        <v>Community and Social Services [Non-core Function] - Theatres</v>
      </c>
      <c r="U31" s="10">
        <f t="shared" si="19"/>
        <v>48</v>
      </c>
      <c r="W31" s="29"/>
      <c r="X31" s="29"/>
      <c r="Y31" s="10">
        <f t="shared" si="29"/>
        <v>0</v>
      </c>
      <c r="AE31" s="2"/>
      <c r="AF31" s="10">
        <f t="shared" si="24"/>
        <v>0</v>
      </c>
      <c r="AH31" s="2"/>
      <c r="AI31" s="10">
        <f t="shared" si="25"/>
        <v>0</v>
      </c>
      <c r="AK31" s="2"/>
      <c r="AL31" s="10">
        <f t="shared" si="26"/>
        <v>0</v>
      </c>
      <c r="AN31" s="2"/>
      <c r="AO31" s="5"/>
      <c r="AP31" s="8"/>
      <c r="AQ31" s="10">
        <f t="shared" si="30"/>
        <v>0</v>
      </c>
      <c r="AS31" s="2"/>
      <c r="AT31" s="10">
        <f t="shared" si="27"/>
        <v>0</v>
      </c>
      <c r="BH31" s="10">
        <f t="shared" si="31"/>
        <v>0</v>
      </c>
      <c r="BI31" s="2"/>
      <c r="BJ31" s="58"/>
      <c r="BL31" s="10">
        <f t="shared" si="16"/>
        <v>0</v>
      </c>
      <c r="BM31" s="2"/>
      <c r="BO31" s="2"/>
      <c r="BY31" s="2"/>
      <c r="BZ31" s="10">
        <f t="shared" si="28"/>
        <v>0</v>
      </c>
      <c r="CB31" s="2"/>
      <c r="CC31" s="10">
        <f t="shared" si="18"/>
        <v>0</v>
      </c>
    </row>
    <row r="32" spans="1:81" x14ac:dyDescent="0.25">
      <c r="E32" s="12" t="str">
        <f t="shared" si="2"/>
        <v/>
      </c>
      <c r="F32" s="30"/>
      <c r="G32" s="11" t="str">
        <f t="shared" si="3"/>
        <v/>
      </c>
      <c r="H32" s="29"/>
      <c r="I32" s="32"/>
      <c r="J32" s="11">
        <f t="shared" si="20"/>
        <v>30</v>
      </c>
      <c r="M32" s="54"/>
      <c r="N32" s="10"/>
      <c r="O32" s="10"/>
      <c r="P32" s="10" t="s">
        <v>223</v>
      </c>
      <c r="Q32" s="10">
        <f t="shared" si="23"/>
        <v>1</v>
      </c>
      <c r="R32" s="49" t="s">
        <v>187</v>
      </c>
      <c r="S32" s="10" t="s">
        <v>245</v>
      </c>
      <c r="T32" s="52" t="str">
        <f t="shared" si="7"/>
        <v>Community and Social Services [Non-core Function] - Zoos</v>
      </c>
      <c r="U32" s="10">
        <f t="shared" si="19"/>
        <v>49</v>
      </c>
      <c r="W32" s="29"/>
      <c r="X32" s="29"/>
      <c r="Y32" s="10">
        <f t="shared" si="29"/>
        <v>0</v>
      </c>
      <c r="AE32" s="2"/>
      <c r="AF32" s="10">
        <f t="shared" si="24"/>
        <v>0</v>
      </c>
      <c r="AH32" s="2"/>
      <c r="AI32" s="10">
        <f t="shared" si="25"/>
        <v>0</v>
      </c>
      <c r="AK32" s="2"/>
      <c r="AL32" s="10">
        <f t="shared" si="26"/>
        <v>0</v>
      </c>
      <c r="AN32" s="2"/>
      <c r="AO32" s="5"/>
      <c r="AP32" s="8"/>
      <c r="AQ32" s="10">
        <f t="shared" si="30"/>
        <v>0</v>
      </c>
      <c r="AS32" s="2"/>
      <c r="AT32" s="10">
        <f t="shared" si="27"/>
        <v>0</v>
      </c>
      <c r="BH32" s="10">
        <f t="shared" si="31"/>
        <v>0</v>
      </c>
      <c r="BI32" s="2"/>
      <c r="BJ32" s="58"/>
      <c r="BL32" s="10">
        <f t="shared" si="16"/>
        <v>0</v>
      </c>
      <c r="BM32" s="2"/>
      <c r="BO32" s="2"/>
      <c r="BY32" s="2"/>
      <c r="BZ32" s="10">
        <f t="shared" si="28"/>
        <v>0</v>
      </c>
      <c r="CB32" s="2"/>
      <c r="CC32" s="10">
        <f t="shared" si="18"/>
        <v>0</v>
      </c>
    </row>
    <row r="33" spans="5:81" x14ac:dyDescent="0.25">
      <c r="E33" s="12" t="str">
        <f t="shared" si="2"/>
        <v/>
      </c>
      <c r="F33" s="30"/>
      <c r="G33" s="11" t="str">
        <f t="shared" si="3"/>
        <v/>
      </c>
      <c r="H33" s="29"/>
      <c r="I33" s="32"/>
      <c r="J33" s="11">
        <f t="shared" si="20"/>
        <v>31</v>
      </c>
      <c r="M33" s="54"/>
      <c r="N33" s="10"/>
      <c r="O33" s="10"/>
      <c r="P33" s="10" t="s">
        <v>150</v>
      </c>
      <c r="Q33" s="10">
        <f t="shared" si="23"/>
        <v>2</v>
      </c>
      <c r="R33" s="49" t="s">
        <v>185</v>
      </c>
      <c r="S33" s="10" t="s">
        <v>150</v>
      </c>
      <c r="T33" s="52" t="str">
        <f t="shared" si="7"/>
        <v>Electricity [Core function]  - Electricity</v>
      </c>
      <c r="U33" s="10">
        <f t="shared" si="19"/>
        <v>50</v>
      </c>
      <c r="W33" s="29"/>
      <c r="X33" s="29"/>
      <c r="Y33" s="10">
        <f t="shared" si="29"/>
        <v>0</v>
      </c>
      <c r="AE33" s="2"/>
      <c r="AF33" s="10">
        <f t="shared" si="24"/>
        <v>0</v>
      </c>
      <c r="AH33" s="2"/>
      <c r="AI33" s="10">
        <f t="shared" si="25"/>
        <v>0</v>
      </c>
      <c r="AK33" s="2"/>
      <c r="AL33" s="10">
        <f t="shared" si="26"/>
        <v>0</v>
      </c>
      <c r="AN33" s="2"/>
      <c r="AO33" s="5"/>
      <c r="AP33" s="8"/>
      <c r="AQ33" s="10">
        <f t="shared" si="30"/>
        <v>0</v>
      </c>
      <c r="AS33" s="2"/>
      <c r="AT33" s="10">
        <f t="shared" si="27"/>
        <v>0</v>
      </c>
      <c r="BH33" s="10">
        <f t="shared" si="31"/>
        <v>0</v>
      </c>
      <c r="BI33" s="2"/>
      <c r="BJ33" s="58"/>
      <c r="BL33" s="10">
        <f t="shared" si="16"/>
        <v>0</v>
      </c>
      <c r="BM33" s="2"/>
      <c r="BO33" s="2"/>
      <c r="BY33" s="2"/>
      <c r="BZ33" s="10">
        <f t="shared" si="28"/>
        <v>0</v>
      </c>
      <c r="CB33" s="2"/>
      <c r="CC33" s="10">
        <f t="shared" si="18"/>
        <v>0</v>
      </c>
    </row>
    <row r="34" spans="5:81" x14ac:dyDescent="0.25">
      <c r="E34" s="12" t="str">
        <f t="shared" si="2"/>
        <v/>
      </c>
      <c r="F34" s="30"/>
      <c r="G34" s="11" t="str">
        <f t="shared" si="3"/>
        <v/>
      </c>
      <c r="H34" s="29"/>
      <c r="I34" s="32"/>
      <c r="J34" s="11">
        <f t="shared" si="20"/>
        <v>32</v>
      </c>
      <c r="M34" s="54"/>
      <c r="N34" s="10"/>
      <c r="O34" s="10"/>
      <c r="P34" s="10" t="s">
        <v>150</v>
      </c>
      <c r="Q34" s="10">
        <f t="shared" si="23"/>
        <v>2</v>
      </c>
      <c r="R34" s="49" t="s">
        <v>185</v>
      </c>
      <c r="S34" s="10" t="s">
        <v>257</v>
      </c>
      <c r="T34" s="52" t="str">
        <f t="shared" si="7"/>
        <v>Electricity [Core function]  - Street Lighting and Signal Systems</v>
      </c>
      <c r="U34" s="10">
        <f t="shared" si="19"/>
        <v>51</v>
      </c>
      <c r="W34" s="29"/>
      <c r="X34" s="29"/>
      <c r="Y34" s="10">
        <f t="shared" si="29"/>
        <v>0</v>
      </c>
      <c r="AE34" s="2"/>
      <c r="AF34" s="10">
        <f t="shared" si="24"/>
        <v>0</v>
      </c>
      <c r="AH34" s="2"/>
      <c r="AI34" s="10">
        <f t="shared" si="25"/>
        <v>0</v>
      </c>
      <c r="AK34" s="2"/>
      <c r="AL34" s="10">
        <f t="shared" si="26"/>
        <v>0</v>
      </c>
      <c r="AN34" s="2"/>
      <c r="AO34" s="5"/>
      <c r="AP34" s="8"/>
      <c r="AQ34" s="10">
        <f t="shared" si="30"/>
        <v>0</v>
      </c>
      <c r="AS34" s="2"/>
      <c r="AT34" s="10">
        <f t="shared" si="27"/>
        <v>0</v>
      </c>
      <c r="BH34" s="10">
        <f t="shared" si="31"/>
        <v>0</v>
      </c>
      <c r="BI34" s="2"/>
      <c r="BJ34" s="58"/>
      <c r="BL34" s="10">
        <f t="shared" ref="BL34:BL51" si="32">IF(LEN(BM34)&gt;0,BL33+1,0)</f>
        <v>0</v>
      </c>
      <c r="BM34" s="2"/>
      <c r="BO34" s="2"/>
      <c r="BY34" s="2"/>
      <c r="BZ34" s="10">
        <f t="shared" si="28"/>
        <v>0</v>
      </c>
      <c r="CB34" s="2"/>
      <c r="CC34" s="10">
        <f t="shared" si="18"/>
        <v>0</v>
      </c>
    </row>
    <row r="35" spans="5:81" x14ac:dyDescent="0.25">
      <c r="E35" s="12" t="str">
        <f t="shared" si="2"/>
        <v/>
      </c>
      <c r="F35" s="30"/>
      <c r="G35" s="11" t="str">
        <f t="shared" si="3"/>
        <v/>
      </c>
      <c r="H35" s="29"/>
      <c r="I35" s="32"/>
      <c r="J35" s="11">
        <f t="shared" si="20"/>
        <v>33</v>
      </c>
      <c r="M35" s="54"/>
      <c r="N35" s="10"/>
      <c r="O35" s="10"/>
      <c r="P35" s="10" t="s">
        <v>150</v>
      </c>
      <c r="Q35" s="10">
        <f t="shared" si="23"/>
        <v>2</v>
      </c>
      <c r="R35" s="49" t="s">
        <v>185</v>
      </c>
      <c r="S35" s="10" t="s">
        <v>258</v>
      </c>
      <c r="T35" s="52" t="str">
        <f t="shared" si="7"/>
        <v>Electricity [Core function]  - Nonelectric Energy</v>
      </c>
      <c r="U35" s="10">
        <f t="shared" si="19"/>
        <v>52</v>
      </c>
      <c r="W35" s="29"/>
      <c r="X35" s="29"/>
      <c r="Y35" s="10">
        <f t="shared" si="29"/>
        <v>0</v>
      </c>
      <c r="AE35" s="2"/>
      <c r="AF35" s="10">
        <f t="shared" si="24"/>
        <v>0</v>
      </c>
      <c r="AH35" s="2"/>
      <c r="AI35" s="10">
        <f t="shared" si="25"/>
        <v>0</v>
      </c>
      <c r="AK35" s="2"/>
      <c r="AL35" s="10">
        <f t="shared" si="26"/>
        <v>0</v>
      </c>
      <c r="AN35" s="2"/>
      <c r="AO35" s="5"/>
      <c r="AP35" s="8"/>
      <c r="AQ35" s="10">
        <f t="shared" si="30"/>
        <v>0</v>
      </c>
      <c r="AS35" s="2"/>
      <c r="AT35" s="10">
        <f t="shared" si="27"/>
        <v>0</v>
      </c>
      <c r="BH35" s="10">
        <f t="shared" si="31"/>
        <v>0</v>
      </c>
      <c r="BI35" s="2"/>
      <c r="BJ35" s="58"/>
      <c r="BL35" s="10">
        <f t="shared" si="32"/>
        <v>0</v>
      </c>
      <c r="BM35" s="2"/>
      <c r="BO35" s="2"/>
      <c r="BY35" s="2"/>
      <c r="BZ35" s="10">
        <f t="shared" si="28"/>
        <v>0</v>
      </c>
      <c r="CB35" s="2"/>
      <c r="CC35" s="10">
        <f t="shared" si="18"/>
        <v>0</v>
      </c>
    </row>
    <row r="36" spans="5:81" x14ac:dyDescent="0.25">
      <c r="E36" s="12" t="str">
        <f t="shared" si="2"/>
        <v/>
      </c>
      <c r="F36" s="30"/>
      <c r="G36" s="11" t="str">
        <f t="shared" si="3"/>
        <v/>
      </c>
      <c r="H36" s="29"/>
      <c r="I36" s="32"/>
      <c r="J36" s="11">
        <f t="shared" si="20"/>
        <v>34</v>
      </c>
      <c r="M36" s="54"/>
      <c r="N36" s="10"/>
      <c r="O36" s="10"/>
      <c r="P36" s="10" t="s">
        <v>150</v>
      </c>
      <c r="Q36" s="10">
        <f t="shared" si="23"/>
        <v>2</v>
      </c>
      <c r="R36" s="49" t="s">
        <v>187</v>
      </c>
      <c r="S36" s="10" t="s">
        <v>259</v>
      </c>
      <c r="T36" s="52" t="str">
        <f t="shared" si="7"/>
        <v xml:space="preserve">Electricity [Non-core Function] - Electricity </v>
      </c>
      <c r="U36" s="10">
        <f t="shared" si="19"/>
        <v>53</v>
      </c>
      <c r="W36" s="29"/>
      <c r="X36" s="29"/>
      <c r="Y36" s="10">
        <f t="shared" si="29"/>
        <v>0</v>
      </c>
      <c r="AE36" s="2"/>
      <c r="AF36" s="10">
        <f t="shared" si="24"/>
        <v>0</v>
      </c>
      <c r="AH36" s="2"/>
      <c r="AI36" s="10">
        <f t="shared" si="25"/>
        <v>0</v>
      </c>
      <c r="AK36" s="2"/>
      <c r="AL36" s="10">
        <f t="shared" si="26"/>
        <v>0</v>
      </c>
      <c r="AN36" s="2"/>
      <c r="AO36" s="5"/>
      <c r="AP36" s="8"/>
      <c r="AQ36" s="10">
        <f t="shared" si="30"/>
        <v>0</v>
      </c>
      <c r="AS36" s="2"/>
      <c r="AT36" s="10">
        <f t="shared" si="27"/>
        <v>0</v>
      </c>
      <c r="BH36" s="10">
        <f t="shared" si="31"/>
        <v>0</v>
      </c>
      <c r="BI36" s="2"/>
      <c r="BJ36" s="58"/>
      <c r="BL36" s="10">
        <f t="shared" si="32"/>
        <v>0</v>
      </c>
      <c r="BM36" s="2"/>
      <c r="BO36" s="2"/>
      <c r="BY36" s="2"/>
      <c r="BZ36" s="10">
        <f t="shared" si="28"/>
        <v>0</v>
      </c>
      <c r="CB36" s="2"/>
      <c r="CC36" s="10">
        <f t="shared" si="18"/>
        <v>0</v>
      </c>
    </row>
    <row r="37" spans="5:81" x14ac:dyDescent="0.25">
      <c r="E37" s="12" t="str">
        <f t="shared" si="2"/>
        <v/>
      </c>
      <c r="F37" s="30"/>
      <c r="G37" s="11" t="str">
        <f t="shared" si="3"/>
        <v/>
      </c>
      <c r="H37" s="29"/>
      <c r="I37" s="32"/>
      <c r="J37" s="11">
        <f t="shared" si="20"/>
        <v>35</v>
      </c>
      <c r="M37" s="54"/>
      <c r="N37" s="10"/>
      <c r="O37" s="10"/>
      <c r="P37" s="10" t="s">
        <v>150</v>
      </c>
      <c r="Q37" s="10">
        <f t="shared" si="23"/>
        <v>2</v>
      </c>
      <c r="R37" s="49" t="s">
        <v>187</v>
      </c>
      <c r="S37" s="10" t="s">
        <v>258</v>
      </c>
      <c r="T37" s="52" t="str">
        <f t="shared" si="7"/>
        <v>Electricity [Non-core Function] - Nonelectric Energy</v>
      </c>
      <c r="U37" s="10">
        <f t="shared" si="19"/>
        <v>54</v>
      </c>
      <c r="W37" s="29"/>
      <c r="X37" s="29"/>
      <c r="Y37" s="10">
        <f t="shared" si="29"/>
        <v>0</v>
      </c>
      <c r="AE37" s="2"/>
      <c r="AF37" s="10">
        <f t="shared" si="24"/>
        <v>0</v>
      </c>
      <c r="AH37" s="2"/>
      <c r="AI37" s="10">
        <f t="shared" si="25"/>
        <v>0</v>
      </c>
      <c r="AK37" s="2"/>
      <c r="AL37" s="10">
        <f t="shared" si="26"/>
        <v>0</v>
      </c>
      <c r="AN37" s="2"/>
      <c r="AO37" s="5"/>
      <c r="AP37" s="8"/>
      <c r="AQ37" s="10">
        <f t="shared" si="30"/>
        <v>0</v>
      </c>
      <c r="AS37" s="2"/>
      <c r="AT37" s="10">
        <f t="shared" si="27"/>
        <v>0</v>
      </c>
      <c r="BH37" s="10">
        <f t="shared" si="31"/>
        <v>0</v>
      </c>
      <c r="BI37" s="2"/>
      <c r="BJ37" s="58"/>
      <c r="BL37" s="10">
        <f t="shared" si="32"/>
        <v>0</v>
      </c>
      <c r="BM37" s="2"/>
      <c r="BO37" s="2"/>
      <c r="BY37" s="2"/>
      <c r="BZ37" s="10">
        <f t="shared" si="28"/>
        <v>0</v>
      </c>
      <c r="CB37" s="2"/>
      <c r="CC37" s="10">
        <f t="shared" si="18"/>
        <v>0</v>
      </c>
    </row>
    <row r="38" spans="5:81" x14ac:dyDescent="0.25">
      <c r="E38" s="12" t="str">
        <f t="shared" si="2"/>
        <v/>
      </c>
      <c r="F38" s="30"/>
      <c r="G38" s="11" t="str">
        <f t="shared" si="3"/>
        <v/>
      </c>
      <c r="H38" s="29"/>
      <c r="I38" s="32"/>
      <c r="J38" s="11">
        <f t="shared" si="20"/>
        <v>36</v>
      </c>
      <c r="M38" s="54"/>
      <c r="N38" s="10"/>
      <c r="O38" s="10"/>
      <c r="P38" s="10" t="s">
        <v>224</v>
      </c>
      <c r="Q38" s="10">
        <f t="shared" si="23"/>
        <v>3</v>
      </c>
      <c r="R38" s="49" t="s">
        <v>185</v>
      </c>
      <c r="S38" s="10" t="s">
        <v>260</v>
      </c>
      <c r="T38" s="52" t="str">
        <f t="shared" si="7"/>
        <v>Environmental Protection [Core function]  - Biodiversity and Landscape</v>
      </c>
      <c r="U38" s="10">
        <f t="shared" si="19"/>
        <v>55</v>
      </c>
      <c r="W38" s="29"/>
      <c r="X38" s="29"/>
      <c r="Y38" s="10">
        <f t="shared" si="29"/>
        <v>0</v>
      </c>
      <c r="AE38" s="2"/>
      <c r="AF38" s="10">
        <f t="shared" si="24"/>
        <v>0</v>
      </c>
      <c r="AH38" s="2"/>
      <c r="AI38" s="10">
        <f t="shared" si="25"/>
        <v>0</v>
      </c>
      <c r="AK38" s="2"/>
      <c r="AL38" s="10">
        <f t="shared" si="26"/>
        <v>0</v>
      </c>
      <c r="AN38" s="2"/>
      <c r="AO38" s="5"/>
      <c r="AP38" s="8"/>
      <c r="AQ38" s="10">
        <f t="shared" si="30"/>
        <v>0</v>
      </c>
      <c r="AS38" s="2"/>
      <c r="AT38" s="10">
        <f t="shared" si="27"/>
        <v>0</v>
      </c>
      <c r="BH38" s="10">
        <f t="shared" si="31"/>
        <v>0</v>
      </c>
      <c r="BI38" s="2"/>
      <c r="BJ38" s="58"/>
      <c r="BL38" s="10">
        <f t="shared" si="32"/>
        <v>0</v>
      </c>
      <c r="BM38" s="2"/>
      <c r="BO38" s="2"/>
      <c r="BY38" s="2"/>
      <c r="BZ38" s="10">
        <f t="shared" si="28"/>
        <v>0</v>
      </c>
      <c r="CB38" s="2"/>
      <c r="CC38" s="10">
        <f t="shared" si="18"/>
        <v>0</v>
      </c>
    </row>
    <row r="39" spans="5:81" x14ac:dyDescent="0.25">
      <c r="E39" s="12" t="str">
        <f t="shared" si="2"/>
        <v/>
      </c>
      <c r="F39" s="30"/>
      <c r="G39" s="11" t="str">
        <f t="shared" si="3"/>
        <v/>
      </c>
      <c r="H39" s="29"/>
      <c r="I39" s="32"/>
      <c r="J39" s="11">
        <f t="shared" si="20"/>
        <v>37</v>
      </c>
      <c r="M39" s="54"/>
      <c r="N39" s="10"/>
      <c r="O39" s="10"/>
      <c r="P39" s="10" t="s">
        <v>224</v>
      </c>
      <c r="Q39" s="10">
        <f t="shared" si="23"/>
        <v>3</v>
      </c>
      <c r="R39" s="49" t="s">
        <v>185</v>
      </c>
      <c r="S39" s="10" t="s">
        <v>261</v>
      </c>
      <c r="T39" s="52" t="str">
        <f t="shared" si="7"/>
        <v>Environmental Protection [Core function]  - Coastal Protection</v>
      </c>
      <c r="U39" s="10">
        <f t="shared" si="19"/>
        <v>56</v>
      </c>
      <c r="W39" s="29"/>
      <c r="X39" s="29"/>
      <c r="Y39" s="10">
        <f t="shared" si="29"/>
        <v>0</v>
      </c>
      <c r="AE39" s="2"/>
      <c r="AF39" s="10">
        <f t="shared" si="24"/>
        <v>0</v>
      </c>
      <c r="AH39" s="2"/>
      <c r="AI39" s="10">
        <f t="shared" si="25"/>
        <v>0</v>
      </c>
      <c r="AK39" s="2"/>
      <c r="AL39" s="10">
        <f t="shared" si="26"/>
        <v>0</v>
      </c>
      <c r="AN39" s="2"/>
      <c r="AO39" s="5"/>
      <c r="AP39" s="8"/>
      <c r="AQ39" s="10">
        <f t="shared" si="30"/>
        <v>0</v>
      </c>
      <c r="AS39" s="2"/>
      <c r="AT39" s="10">
        <f t="shared" si="27"/>
        <v>0</v>
      </c>
      <c r="BH39" s="10">
        <f t="shared" si="31"/>
        <v>0</v>
      </c>
      <c r="BI39" s="2"/>
      <c r="BJ39" s="58"/>
      <c r="BL39" s="10">
        <f t="shared" si="32"/>
        <v>0</v>
      </c>
      <c r="BM39" s="2"/>
      <c r="BO39" s="2"/>
      <c r="BY39" s="2"/>
      <c r="BZ39" s="10">
        <f t="shared" si="28"/>
        <v>0</v>
      </c>
      <c r="CB39" s="2"/>
      <c r="CC39" s="10">
        <f t="shared" si="18"/>
        <v>0</v>
      </c>
    </row>
    <row r="40" spans="5:81" x14ac:dyDescent="0.25">
      <c r="E40" s="12" t="str">
        <f t="shared" si="2"/>
        <v/>
      </c>
      <c r="F40" s="30"/>
      <c r="G40" s="11" t="str">
        <f t="shared" si="3"/>
        <v/>
      </c>
      <c r="H40" s="29"/>
      <c r="I40" s="32"/>
      <c r="J40" s="11">
        <f t="shared" si="20"/>
        <v>38</v>
      </c>
      <c r="M40" s="54"/>
      <c r="N40" s="10"/>
      <c r="O40" s="10"/>
      <c r="P40" s="10" t="s">
        <v>224</v>
      </c>
      <c r="Q40" s="10">
        <f t="shared" si="23"/>
        <v>3</v>
      </c>
      <c r="R40" s="49" t="s">
        <v>185</v>
      </c>
      <c r="S40" s="10" t="s">
        <v>262</v>
      </c>
      <c r="T40" s="52" t="str">
        <f t="shared" si="7"/>
        <v>Environmental Protection [Core function]  - Pollution Control</v>
      </c>
      <c r="U40" s="10">
        <f t="shared" si="19"/>
        <v>57</v>
      </c>
      <c r="W40" s="29"/>
      <c r="X40" s="29"/>
      <c r="Y40" s="10">
        <f t="shared" si="29"/>
        <v>0</v>
      </c>
      <c r="AE40" s="2"/>
      <c r="AF40" s="10">
        <f t="shared" si="24"/>
        <v>0</v>
      </c>
      <c r="AH40" s="2"/>
      <c r="AI40" s="10">
        <f t="shared" si="25"/>
        <v>0</v>
      </c>
      <c r="AK40" s="2"/>
      <c r="AL40" s="10">
        <f t="shared" si="26"/>
        <v>0</v>
      </c>
      <c r="AN40" s="2"/>
      <c r="AO40" s="5"/>
      <c r="AP40" s="8"/>
      <c r="AQ40" s="10">
        <f t="shared" si="30"/>
        <v>0</v>
      </c>
      <c r="AS40" s="2"/>
      <c r="AT40" s="10">
        <f t="shared" si="27"/>
        <v>0</v>
      </c>
      <c r="BH40" s="10">
        <f t="shared" si="31"/>
        <v>0</v>
      </c>
      <c r="BI40" s="2"/>
      <c r="BJ40" s="58"/>
      <c r="BL40" s="10">
        <f t="shared" si="32"/>
        <v>0</v>
      </c>
      <c r="BM40" s="2"/>
      <c r="BO40" s="2"/>
      <c r="BY40" s="2"/>
      <c r="BZ40" s="10">
        <f t="shared" si="28"/>
        <v>0</v>
      </c>
      <c r="CB40" s="2"/>
      <c r="CC40" s="10">
        <f t="shared" si="18"/>
        <v>0</v>
      </c>
    </row>
    <row r="41" spans="5:81" x14ac:dyDescent="0.25">
      <c r="E41" s="12" t="str">
        <f t="shared" si="2"/>
        <v/>
      </c>
      <c r="F41" s="30"/>
      <c r="G41" s="11" t="str">
        <f t="shared" si="3"/>
        <v/>
      </c>
      <c r="H41" s="29"/>
      <c r="I41" s="32"/>
      <c r="J41" s="11">
        <f t="shared" si="20"/>
        <v>39</v>
      </c>
      <c r="M41" s="54"/>
      <c r="N41" s="10"/>
      <c r="O41" s="10"/>
      <c r="P41" s="10" t="s">
        <v>224</v>
      </c>
      <c r="Q41" s="10">
        <f t="shared" si="23"/>
        <v>3</v>
      </c>
      <c r="R41" s="49" t="s">
        <v>187</v>
      </c>
      <c r="S41" s="10" t="s">
        <v>263</v>
      </c>
      <c r="T41" s="52" t="str">
        <f t="shared" si="7"/>
        <v>Environmental Protection [Non-core Function] - Indigenous Forests</v>
      </c>
      <c r="U41" s="10">
        <f t="shared" si="19"/>
        <v>58</v>
      </c>
      <c r="W41" s="29"/>
      <c r="X41" s="29"/>
      <c r="Y41" s="10">
        <f t="shared" si="29"/>
        <v>0</v>
      </c>
      <c r="AE41" s="2"/>
      <c r="AF41" s="10">
        <f t="shared" si="24"/>
        <v>0</v>
      </c>
      <c r="AH41" s="2"/>
      <c r="AI41" s="10">
        <f t="shared" si="25"/>
        <v>0</v>
      </c>
      <c r="AK41" s="2"/>
      <c r="AL41" s="10">
        <f t="shared" si="26"/>
        <v>0</v>
      </c>
      <c r="AN41" s="2"/>
      <c r="AO41" s="5"/>
      <c r="AP41" s="8"/>
      <c r="AQ41" s="10">
        <f t="shared" si="30"/>
        <v>0</v>
      </c>
      <c r="AS41" s="2"/>
      <c r="AT41" s="10">
        <f t="shared" si="27"/>
        <v>0</v>
      </c>
      <c r="BH41" s="10">
        <f t="shared" si="31"/>
        <v>0</v>
      </c>
      <c r="BI41" s="2"/>
      <c r="BJ41" s="58"/>
      <c r="BL41" s="10">
        <f t="shared" si="32"/>
        <v>0</v>
      </c>
      <c r="BM41" s="2"/>
      <c r="BO41" s="2"/>
      <c r="BY41" s="2"/>
      <c r="BZ41" s="10">
        <f t="shared" si="28"/>
        <v>0</v>
      </c>
      <c r="CB41" s="2"/>
      <c r="CC41" s="10">
        <f t="shared" si="18"/>
        <v>0</v>
      </c>
    </row>
    <row r="42" spans="5:81" x14ac:dyDescent="0.25">
      <c r="E42" s="12" t="str">
        <f t="shared" si="2"/>
        <v/>
      </c>
      <c r="F42" s="30"/>
      <c r="G42" s="11" t="str">
        <f t="shared" si="3"/>
        <v/>
      </c>
      <c r="H42" s="29"/>
      <c r="I42" s="32"/>
      <c r="J42" s="11">
        <f t="shared" si="20"/>
        <v>40</v>
      </c>
      <c r="M42" s="54"/>
      <c r="N42" s="10"/>
      <c r="O42" s="10"/>
      <c r="P42" s="10" t="s">
        <v>224</v>
      </c>
      <c r="Q42" s="10">
        <f t="shared" si="23"/>
        <v>3</v>
      </c>
      <c r="R42" s="49" t="s">
        <v>187</v>
      </c>
      <c r="S42" s="10" t="s">
        <v>264</v>
      </c>
      <c r="T42" s="52" t="str">
        <f t="shared" si="7"/>
        <v>Environmental Protection [Non-core Function] - Nature Conservation</v>
      </c>
      <c r="U42" s="10">
        <f t="shared" si="19"/>
        <v>59</v>
      </c>
      <c r="W42" s="29"/>
      <c r="X42" s="29"/>
      <c r="Y42" s="10">
        <f t="shared" si="29"/>
        <v>0</v>
      </c>
      <c r="AE42" s="2"/>
      <c r="AF42" s="10">
        <f t="shared" si="24"/>
        <v>0</v>
      </c>
      <c r="AH42" s="2"/>
      <c r="AI42" s="10">
        <f t="shared" si="25"/>
        <v>0</v>
      </c>
      <c r="AK42" s="2"/>
      <c r="AL42" s="10">
        <f t="shared" si="26"/>
        <v>0</v>
      </c>
      <c r="AN42" s="2"/>
      <c r="AO42" s="5"/>
      <c r="AP42" s="8"/>
      <c r="AQ42" s="10">
        <f t="shared" si="30"/>
        <v>0</v>
      </c>
      <c r="AS42" s="2"/>
      <c r="AT42" s="10">
        <f t="shared" si="27"/>
        <v>0</v>
      </c>
      <c r="BH42" s="10">
        <f t="shared" si="31"/>
        <v>0</v>
      </c>
      <c r="BI42" s="2"/>
      <c r="BJ42" s="58"/>
      <c r="BL42" s="10">
        <f t="shared" si="32"/>
        <v>0</v>
      </c>
      <c r="BM42" s="2"/>
      <c r="BO42" s="2"/>
      <c r="BY42" s="2"/>
      <c r="BZ42" s="10">
        <f t="shared" si="28"/>
        <v>0</v>
      </c>
      <c r="CB42" s="2"/>
      <c r="CC42" s="10">
        <f t="shared" si="18"/>
        <v>0</v>
      </c>
    </row>
    <row r="43" spans="5:81" x14ac:dyDescent="0.25">
      <c r="E43" s="12" t="str">
        <f t="shared" si="2"/>
        <v/>
      </c>
      <c r="F43" s="30"/>
      <c r="G43" s="11" t="str">
        <f t="shared" si="3"/>
        <v/>
      </c>
      <c r="H43" s="29"/>
      <c r="I43" s="32"/>
      <c r="J43" s="11">
        <f t="shared" si="20"/>
        <v>41</v>
      </c>
      <c r="M43" s="54"/>
      <c r="N43" s="10"/>
      <c r="O43" s="10"/>
      <c r="P43" s="10" t="s">
        <v>224</v>
      </c>
      <c r="Q43" s="10">
        <f t="shared" si="23"/>
        <v>3</v>
      </c>
      <c r="R43" s="49" t="s">
        <v>187</v>
      </c>
      <c r="S43" s="10" t="s">
        <v>262</v>
      </c>
      <c r="T43" s="52" t="str">
        <f t="shared" si="7"/>
        <v>Environmental Protection [Non-core Function] - Pollution Control</v>
      </c>
      <c r="U43" s="10">
        <f t="shared" si="19"/>
        <v>60</v>
      </c>
      <c r="W43" s="29"/>
      <c r="X43" s="29"/>
      <c r="Y43" s="10">
        <f t="shared" si="29"/>
        <v>0</v>
      </c>
      <c r="AE43" s="2"/>
      <c r="AF43" s="10">
        <f t="shared" si="24"/>
        <v>0</v>
      </c>
      <c r="AH43" s="2"/>
      <c r="AI43" s="10">
        <f t="shared" si="25"/>
        <v>0</v>
      </c>
      <c r="AK43" s="2"/>
      <c r="AL43" s="10">
        <f t="shared" si="26"/>
        <v>0</v>
      </c>
      <c r="AN43" s="2"/>
      <c r="AO43" s="5"/>
      <c r="AP43" s="8"/>
      <c r="AQ43" s="10">
        <f t="shared" si="30"/>
        <v>0</v>
      </c>
      <c r="AS43" s="2"/>
      <c r="AT43" s="10">
        <f t="shared" si="27"/>
        <v>0</v>
      </c>
      <c r="BH43" s="10">
        <f t="shared" si="31"/>
        <v>0</v>
      </c>
      <c r="BI43" s="2"/>
      <c r="BJ43" s="58"/>
      <c r="BL43" s="10">
        <f t="shared" si="32"/>
        <v>0</v>
      </c>
      <c r="BM43" s="2"/>
      <c r="BO43" s="2"/>
      <c r="BY43" s="2"/>
      <c r="BZ43" s="10">
        <f t="shared" si="28"/>
        <v>0</v>
      </c>
      <c r="CB43" s="2"/>
      <c r="CC43" s="10">
        <f t="shared" si="18"/>
        <v>0</v>
      </c>
    </row>
    <row r="44" spans="5:81" x14ac:dyDescent="0.25">
      <c r="E44" s="12" t="str">
        <f t="shared" si="2"/>
        <v/>
      </c>
      <c r="F44" s="30"/>
      <c r="G44" s="11" t="str">
        <f t="shared" si="3"/>
        <v/>
      </c>
      <c r="H44" s="29"/>
      <c r="I44" s="32"/>
      <c r="J44" s="11">
        <f t="shared" si="20"/>
        <v>42</v>
      </c>
      <c r="M44" s="54"/>
      <c r="N44" s="10"/>
      <c r="O44" s="10"/>
      <c r="P44" s="10" t="s">
        <v>224</v>
      </c>
      <c r="Q44" s="10">
        <f t="shared" si="23"/>
        <v>3</v>
      </c>
      <c r="R44" s="49" t="s">
        <v>187</v>
      </c>
      <c r="S44" s="10" t="s">
        <v>265</v>
      </c>
      <c r="T44" s="52" t="str">
        <f t="shared" si="7"/>
        <v>Environmental Protection [Non-core Function] - Soil Conservation</v>
      </c>
      <c r="U44" s="10">
        <f t="shared" si="19"/>
        <v>61</v>
      </c>
      <c r="W44" s="29"/>
      <c r="X44" s="29"/>
      <c r="Y44" s="10">
        <f t="shared" si="29"/>
        <v>0</v>
      </c>
      <c r="AE44" s="2"/>
      <c r="AF44" s="10">
        <f t="shared" si="24"/>
        <v>0</v>
      </c>
      <c r="AH44" s="2"/>
      <c r="AI44" s="10">
        <f t="shared" si="25"/>
        <v>0</v>
      </c>
      <c r="AK44" s="2"/>
      <c r="AL44" s="10">
        <f t="shared" si="26"/>
        <v>0</v>
      </c>
      <c r="AN44" s="2"/>
      <c r="AO44" s="5"/>
      <c r="AP44" s="8"/>
      <c r="AQ44" s="10">
        <f t="shared" si="30"/>
        <v>0</v>
      </c>
      <c r="AS44" s="2"/>
      <c r="AT44" s="10">
        <f t="shared" si="27"/>
        <v>0</v>
      </c>
      <c r="BH44" s="10">
        <f t="shared" si="31"/>
        <v>0</v>
      </c>
      <c r="BI44" s="2"/>
      <c r="BJ44" s="58"/>
      <c r="BL44" s="10">
        <f t="shared" si="32"/>
        <v>0</v>
      </c>
      <c r="BM44" s="2"/>
      <c r="BO44" s="2"/>
      <c r="BY44" s="2"/>
      <c r="BZ44" s="10">
        <f t="shared" si="28"/>
        <v>0</v>
      </c>
      <c r="CB44" s="2"/>
      <c r="CC44" s="10">
        <f t="shared" si="18"/>
        <v>0</v>
      </c>
    </row>
    <row r="45" spans="5:81" x14ac:dyDescent="0.25">
      <c r="E45" s="12" t="str">
        <f t="shared" si="2"/>
        <v/>
      </c>
      <c r="F45" s="30"/>
      <c r="G45" s="11" t="str">
        <f t="shared" si="3"/>
        <v/>
      </c>
      <c r="H45" s="29"/>
      <c r="I45" s="32"/>
      <c r="J45" s="11">
        <f t="shared" si="20"/>
        <v>43</v>
      </c>
      <c r="M45" s="54"/>
      <c r="N45" s="10"/>
      <c r="O45" s="10"/>
      <c r="P45" s="10" t="s">
        <v>225</v>
      </c>
      <c r="Q45" s="10">
        <f t="shared" si="23"/>
        <v>4</v>
      </c>
      <c r="R45" s="49" t="s">
        <v>185</v>
      </c>
      <c r="S45" s="10" t="s">
        <v>266</v>
      </c>
      <c r="T45" s="52" t="str">
        <f t="shared" si="7"/>
        <v>Executive and Council [Core function]  - Mayor and Council</v>
      </c>
      <c r="U45" s="10">
        <f t="shared" si="19"/>
        <v>62</v>
      </c>
      <c r="W45" s="29"/>
      <c r="X45" s="29"/>
      <c r="Y45" s="10">
        <f t="shared" si="29"/>
        <v>0</v>
      </c>
      <c r="AE45" s="2"/>
      <c r="AF45" s="10">
        <f t="shared" si="24"/>
        <v>0</v>
      </c>
      <c r="AH45" s="2"/>
      <c r="AI45" s="10">
        <f t="shared" si="25"/>
        <v>0</v>
      </c>
      <c r="AK45" s="2"/>
      <c r="AL45" s="10">
        <f t="shared" si="26"/>
        <v>0</v>
      </c>
      <c r="AN45" s="2"/>
      <c r="AO45" s="5"/>
      <c r="AP45" s="8"/>
      <c r="AQ45" s="10">
        <f t="shared" si="30"/>
        <v>0</v>
      </c>
      <c r="AS45" s="2"/>
      <c r="AT45" s="10">
        <f t="shared" si="27"/>
        <v>0</v>
      </c>
      <c r="BH45" s="10">
        <f t="shared" si="31"/>
        <v>0</v>
      </c>
      <c r="BI45" s="2"/>
      <c r="BJ45" s="58"/>
      <c r="BL45" s="10">
        <f t="shared" si="32"/>
        <v>0</v>
      </c>
      <c r="BM45" s="2"/>
      <c r="BO45" s="2"/>
      <c r="BY45" s="2"/>
      <c r="BZ45" s="10">
        <f t="shared" si="28"/>
        <v>0</v>
      </c>
      <c r="CB45" s="2"/>
      <c r="CC45" s="10">
        <f t="shared" si="18"/>
        <v>0</v>
      </c>
    </row>
    <row r="46" spans="5:81" x14ac:dyDescent="0.25">
      <c r="E46" s="12" t="str">
        <f t="shared" si="2"/>
        <v/>
      </c>
      <c r="F46" s="30"/>
      <c r="G46" s="11" t="str">
        <f t="shared" si="3"/>
        <v/>
      </c>
      <c r="H46" s="29"/>
      <c r="I46" s="32"/>
      <c r="J46" s="11">
        <f t="shared" si="20"/>
        <v>44</v>
      </c>
      <c r="M46" s="54"/>
      <c r="N46" s="10"/>
      <c r="O46" s="10"/>
      <c r="P46" s="10" t="s">
        <v>225</v>
      </c>
      <c r="Q46" s="10">
        <f t="shared" si="23"/>
        <v>4</v>
      </c>
      <c r="R46" s="49" t="s">
        <v>185</v>
      </c>
      <c r="S46" s="10" t="s">
        <v>267</v>
      </c>
      <c r="T46" s="52" t="str">
        <f t="shared" si="7"/>
        <v>Executive and Council [Core function]  - Municipal Manager, Town Secretary and Chief Executive</v>
      </c>
      <c r="U46" s="10">
        <f t="shared" si="19"/>
        <v>63</v>
      </c>
      <c r="W46" s="29"/>
      <c r="X46" s="29"/>
      <c r="Y46" s="10">
        <f t="shared" si="29"/>
        <v>0</v>
      </c>
      <c r="AE46" s="2"/>
      <c r="AF46" s="10">
        <f t="shared" si="24"/>
        <v>0</v>
      </c>
      <c r="AH46" s="2"/>
      <c r="AI46" s="10">
        <f t="shared" si="25"/>
        <v>0</v>
      </c>
      <c r="AK46" s="2"/>
      <c r="AL46" s="10">
        <f t="shared" si="26"/>
        <v>0</v>
      </c>
      <c r="AN46" s="2"/>
      <c r="AO46" s="5"/>
      <c r="AP46" s="8"/>
      <c r="AQ46" s="10">
        <f t="shared" si="30"/>
        <v>0</v>
      </c>
      <c r="AS46" s="2"/>
      <c r="AT46" s="10">
        <f t="shared" si="27"/>
        <v>0</v>
      </c>
      <c r="BH46" s="10">
        <f t="shared" si="31"/>
        <v>0</v>
      </c>
      <c r="BI46" s="2"/>
      <c r="BJ46" s="58"/>
      <c r="BL46" s="10">
        <f t="shared" si="32"/>
        <v>0</v>
      </c>
      <c r="BM46" s="2"/>
      <c r="BO46" s="2"/>
      <c r="BY46" s="2"/>
      <c r="BZ46" s="10">
        <f t="shared" si="28"/>
        <v>0</v>
      </c>
      <c r="CB46" s="2"/>
      <c r="CC46" s="10">
        <f t="shared" si="18"/>
        <v>0</v>
      </c>
    </row>
    <row r="47" spans="5:81" x14ac:dyDescent="0.25">
      <c r="E47" s="12" t="str">
        <f t="shared" si="2"/>
        <v/>
      </c>
      <c r="F47" s="30"/>
      <c r="G47" s="11" t="str">
        <f t="shared" si="3"/>
        <v/>
      </c>
      <c r="H47" s="29"/>
      <c r="I47" s="32"/>
      <c r="J47" s="11">
        <f t="shared" si="20"/>
        <v>45</v>
      </c>
      <c r="M47" s="54"/>
      <c r="N47" s="10"/>
      <c r="O47" s="10"/>
      <c r="P47" s="10" t="s">
        <v>226</v>
      </c>
      <c r="Q47" s="10">
        <f t="shared" si="23"/>
        <v>5</v>
      </c>
      <c r="R47" s="49" t="s">
        <v>185</v>
      </c>
      <c r="S47" s="10" t="s">
        <v>268</v>
      </c>
      <c r="T47" s="52" t="str">
        <f t="shared" si="7"/>
        <v>Finance and Administration [Core function]  - Administrative and Corporate Support</v>
      </c>
      <c r="U47" s="10">
        <f t="shared" si="19"/>
        <v>64</v>
      </c>
      <c r="W47" s="29"/>
      <c r="X47" s="29"/>
      <c r="Y47" s="10">
        <f t="shared" si="29"/>
        <v>0</v>
      </c>
      <c r="AE47" s="2"/>
      <c r="AF47" s="10">
        <f t="shared" si="24"/>
        <v>0</v>
      </c>
      <c r="AH47" s="2"/>
      <c r="AI47" s="10">
        <f t="shared" si="25"/>
        <v>0</v>
      </c>
      <c r="AK47" s="2"/>
      <c r="AL47" s="10">
        <f t="shared" si="26"/>
        <v>0</v>
      </c>
      <c r="AN47" s="2"/>
      <c r="AO47" s="5"/>
      <c r="AP47" s="8"/>
      <c r="AQ47" s="10">
        <f t="shared" si="30"/>
        <v>0</v>
      </c>
      <c r="AS47" s="2"/>
      <c r="AT47" s="10">
        <f t="shared" si="27"/>
        <v>0</v>
      </c>
      <c r="BH47" s="10">
        <f t="shared" si="31"/>
        <v>0</v>
      </c>
      <c r="BI47" s="2"/>
      <c r="BJ47" s="58"/>
      <c r="BL47" s="10">
        <f t="shared" si="32"/>
        <v>0</v>
      </c>
      <c r="BM47" s="2"/>
      <c r="BO47" s="2"/>
      <c r="BY47" s="2"/>
      <c r="BZ47" s="10">
        <f t="shared" si="28"/>
        <v>0</v>
      </c>
      <c r="CB47" s="2"/>
      <c r="CC47" s="10">
        <f t="shared" si="18"/>
        <v>0</v>
      </c>
    </row>
    <row r="48" spans="5:81" x14ac:dyDescent="0.25">
      <c r="E48" s="12" t="str">
        <f t="shared" si="2"/>
        <v/>
      </c>
      <c r="F48" s="30"/>
      <c r="G48" s="11" t="str">
        <f t="shared" si="3"/>
        <v/>
      </c>
      <c r="H48" s="29"/>
      <c r="I48" s="32"/>
      <c r="J48" s="11">
        <f t="shared" si="20"/>
        <v>46</v>
      </c>
      <c r="M48" s="54"/>
      <c r="N48" s="10"/>
      <c r="O48" s="10"/>
      <c r="P48" s="10" t="s">
        <v>226</v>
      </c>
      <c r="Q48" s="10">
        <f t="shared" si="23"/>
        <v>5</v>
      </c>
      <c r="R48" s="49" t="s">
        <v>185</v>
      </c>
      <c r="S48" s="10" t="s">
        <v>269</v>
      </c>
      <c r="T48" s="52" t="str">
        <f t="shared" si="7"/>
        <v>Finance and Administration [Core function]  - Asset Management</v>
      </c>
      <c r="U48" s="10">
        <f t="shared" si="19"/>
        <v>65</v>
      </c>
      <c r="W48" s="29"/>
      <c r="X48" s="29"/>
      <c r="Y48" s="10">
        <f t="shared" si="29"/>
        <v>0</v>
      </c>
      <c r="AE48" s="2"/>
      <c r="AF48" s="10">
        <f t="shared" si="24"/>
        <v>0</v>
      </c>
      <c r="AH48" s="2"/>
      <c r="AI48" s="10">
        <f t="shared" si="25"/>
        <v>0</v>
      </c>
      <c r="AK48" s="2"/>
      <c r="AL48" s="10">
        <f t="shared" si="26"/>
        <v>0</v>
      </c>
      <c r="AN48" s="2"/>
      <c r="AO48" s="5"/>
      <c r="AP48" s="8"/>
      <c r="AQ48" s="10">
        <f t="shared" si="30"/>
        <v>0</v>
      </c>
      <c r="AS48" s="2"/>
      <c r="AT48" s="10">
        <f t="shared" si="27"/>
        <v>0</v>
      </c>
      <c r="BH48" s="10">
        <f t="shared" si="31"/>
        <v>0</v>
      </c>
      <c r="BI48" s="2"/>
      <c r="BJ48" s="58"/>
      <c r="BL48" s="10">
        <f t="shared" si="32"/>
        <v>0</v>
      </c>
      <c r="BM48" s="2"/>
      <c r="BO48" s="2"/>
      <c r="BY48" s="2"/>
      <c r="BZ48" s="10">
        <f t="shared" si="28"/>
        <v>0</v>
      </c>
      <c r="CB48" s="2"/>
      <c r="CC48" s="10">
        <f t="shared" si="18"/>
        <v>0</v>
      </c>
    </row>
    <row r="49" spans="5:81" x14ac:dyDescent="0.25">
      <c r="E49" s="12" t="str">
        <f t="shared" si="2"/>
        <v/>
      </c>
      <c r="F49" s="30"/>
      <c r="G49" s="11" t="str">
        <f t="shared" si="3"/>
        <v/>
      </c>
      <c r="H49" s="29"/>
      <c r="I49" s="32"/>
      <c r="J49" s="11">
        <f t="shared" si="20"/>
        <v>47</v>
      </c>
      <c r="M49" s="54"/>
      <c r="N49" s="10"/>
      <c r="O49" s="10"/>
      <c r="P49" s="10" t="s">
        <v>226</v>
      </c>
      <c r="Q49" s="10">
        <f t="shared" si="23"/>
        <v>5</v>
      </c>
      <c r="R49" s="49" t="s">
        <v>185</v>
      </c>
      <c r="S49" s="10" t="s">
        <v>270</v>
      </c>
      <c r="T49" s="52" t="str">
        <f t="shared" si="7"/>
        <v>Finance and Administration [Core function]  - Budget and Treasury Office</v>
      </c>
      <c r="U49" s="10">
        <f t="shared" si="19"/>
        <v>66</v>
      </c>
      <c r="W49" s="29"/>
      <c r="X49" s="29"/>
      <c r="Y49" s="10">
        <f t="shared" si="29"/>
        <v>0</v>
      </c>
      <c r="AE49" s="2"/>
      <c r="AF49" s="10">
        <f t="shared" si="24"/>
        <v>0</v>
      </c>
      <c r="AH49" s="2"/>
      <c r="AI49" s="10">
        <f t="shared" si="25"/>
        <v>0</v>
      </c>
      <c r="AK49" s="2"/>
      <c r="AL49" s="10">
        <f t="shared" si="26"/>
        <v>0</v>
      </c>
      <c r="AN49" s="2"/>
      <c r="AO49" s="5"/>
      <c r="AP49" s="8"/>
      <c r="AQ49" s="10">
        <f t="shared" si="30"/>
        <v>0</v>
      </c>
      <c r="AS49" s="2"/>
      <c r="AT49" s="10">
        <f t="shared" si="27"/>
        <v>0</v>
      </c>
      <c r="BH49" s="10">
        <f t="shared" si="31"/>
        <v>0</v>
      </c>
      <c r="BI49" s="2"/>
      <c r="BJ49" s="58"/>
      <c r="BL49" s="10">
        <f t="shared" si="32"/>
        <v>0</v>
      </c>
      <c r="BM49" s="2"/>
      <c r="BO49" s="2"/>
      <c r="BY49" s="2"/>
      <c r="BZ49" s="10">
        <f t="shared" si="28"/>
        <v>0</v>
      </c>
      <c r="CB49" s="2"/>
      <c r="CC49" s="10">
        <f t="shared" si="18"/>
        <v>0</v>
      </c>
    </row>
    <row r="50" spans="5:81" x14ac:dyDescent="0.25">
      <c r="E50" s="12" t="str">
        <f t="shared" si="2"/>
        <v/>
      </c>
      <c r="F50" s="30"/>
      <c r="G50" s="11" t="str">
        <f t="shared" si="3"/>
        <v/>
      </c>
      <c r="H50" s="29"/>
      <c r="I50" s="32"/>
      <c r="J50" s="11">
        <f t="shared" si="20"/>
        <v>48</v>
      </c>
      <c r="M50" s="54"/>
      <c r="N50" s="10"/>
      <c r="O50" s="10"/>
      <c r="P50" s="10" t="s">
        <v>226</v>
      </c>
      <c r="Q50" s="10">
        <f t="shared" si="23"/>
        <v>5</v>
      </c>
      <c r="R50" s="49" t="s">
        <v>185</v>
      </c>
      <c r="S50" s="10" t="s">
        <v>271</v>
      </c>
      <c r="T50" s="52" t="str">
        <f t="shared" si="7"/>
        <v>Finance and Administration [Core function]  - Finance</v>
      </c>
      <c r="U50" s="10">
        <f t="shared" si="19"/>
        <v>67</v>
      </c>
      <c r="W50" s="29"/>
      <c r="X50" s="29"/>
      <c r="Y50" s="10">
        <f t="shared" si="29"/>
        <v>0</v>
      </c>
      <c r="AE50" s="2"/>
      <c r="AF50" s="10">
        <f t="shared" si="24"/>
        <v>0</v>
      </c>
      <c r="AH50" s="2"/>
      <c r="AI50" s="10">
        <f t="shared" si="25"/>
        <v>0</v>
      </c>
      <c r="AK50" s="2"/>
      <c r="AL50" s="10">
        <f t="shared" si="26"/>
        <v>0</v>
      </c>
      <c r="AN50" s="2"/>
      <c r="AO50" s="5"/>
      <c r="AP50" s="8"/>
      <c r="AQ50" s="10">
        <f t="shared" si="30"/>
        <v>0</v>
      </c>
      <c r="AS50" s="2"/>
      <c r="AT50" s="10">
        <f t="shared" si="27"/>
        <v>0</v>
      </c>
      <c r="BH50" s="10">
        <f t="shared" si="31"/>
        <v>0</v>
      </c>
      <c r="BI50" s="2"/>
      <c r="BJ50" s="58"/>
      <c r="BL50" s="10">
        <f t="shared" si="32"/>
        <v>0</v>
      </c>
      <c r="BM50" s="2"/>
      <c r="BO50" s="2"/>
      <c r="BY50" s="2"/>
      <c r="BZ50" s="10">
        <f t="shared" si="28"/>
        <v>0</v>
      </c>
      <c r="CB50" s="2"/>
      <c r="CC50" s="10">
        <f t="shared" si="18"/>
        <v>0</v>
      </c>
    </row>
    <row r="51" spans="5:81" x14ac:dyDescent="0.25">
      <c r="E51" s="12" t="str">
        <f t="shared" si="2"/>
        <v/>
      </c>
      <c r="F51" s="30"/>
      <c r="G51" s="11" t="str">
        <f t="shared" si="3"/>
        <v/>
      </c>
      <c r="H51" s="29"/>
      <c r="I51" s="32"/>
      <c r="J51" s="11">
        <f t="shared" si="20"/>
        <v>49</v>
      </c>
      <c r="M51" s="54"/>
      <c r="N51" s="10"/>
      <c r="O51" s="10"/>
      <c r="P51" s="10" t="s">
        <v>226</v>
      </c>
      <c r="Q51" s="10">
        <f t="shared" si="23"/>
        <v>5</v>
      </c>
      <c r="R51" s="49" t="s">
        <v>185</v>
      </c>
      <c r="S51" s="10" t="s">
        <v>272</v>
      </c>
      <c r="T51" s="52" t="str">
        <f t="shared" si="7"/>
        <v>Finance and Administration [Core function]  - Fleet Management</v>
      </c>
      <c r="U51" s="10">
        <f t="shared" si="19"/>
        <v>68</v>
      </c>
      <c r="W51" s="29"/>
      <c r="X51" s="29"/>
      <c r="Y51" s="10">
        <f t="shared" si="29"/>
        <v>0</v>
      </c>
      <c r="AE51" s="2"/>
      <c r="AF51" s="10">
        <f t="shared" si="24"/>
        <v>0</v>
      </c>
      <c r="AH51" s="2"/>
      <c r="AI51" s="10">
        <f t="shared" si="25"/>
        <v>0</v>
      </c>
      <c r="AK51" s="2"/>
      <c r="AL51" s="10">
        <f t="shared" si="26"/>
        <v>0</v>
      </c>
      <c r="AN51" s="2"/>
      <c r="AO51" s="5"/>
      <c r="AP51" s="8"/>
      <c r="AQ51" s="10">
        <f t="shared" si="30"/>
        <v>0</v>
      </c>
      <c r="AS51" s="2"/>
      <c r="AT51" s="10">
        <f t="shared" si="27"/>
        <v>0</v>
      </c>
      <c r="BH51" s="10">
        <f t="shared" si="31"/>
        <v>0</v>
      </c>
      <c r="BI51" s="2"/>
      <c r="BJ51" s="58"/>
      <c r="BL51" s="10">
        <f t="shared" si="32"/>
        <v>0</v>
      </c>
      <c r="BM51" s="2"/>
      <c r="BO51" s="2"/>
      <c r="BY51" s="2"/>
      <c r="BZ51" s="10">
        <f t="shared" si="28"/>
        <v>0</v>
      </c>
      <c r="CB51" s="2"/>
      <c r="CC51" s="10">
        <f t="shared" si="18"/>
        <v>0</v>
      </c>
    </row>
    <row r="52" spans="5:81" x14ac:dyDescent="0.25">
      <c r="E52" s="12" t="str">
        <f t="shared" si="2"/>
        <v/>
      </c>
      <c r="F52" s="31"/>
      <c r="G52" s="11" t="str">
        <f t="shared" si="3"/>
        <v/>
      </c>
      <c r="H52" s="33"/>
      <c r="I52" s="34"/>
      <c r="J52" s="11">
        <f t="shared" si="20"/>
        <v>50</v>
      </c>
      <c r="M52" s="54"/>
      <c r="N52" s="10"/>
      <c r="O52" s="10"/>
      <c r="P52" s="10" t="s">
        <v>226</v>
      </c>
      <c r="Q52" s="10">
        <f t="shared" si="23"/>
        <v>5</v>
      </c>
      <c r="R52" s="49" t="s">
        <v>185</v>
      </c>
      <c r="S52" s="10" t="s">
        <v>186</v>
      </c>
      <c r="T52" s="52" t="str">
        <f t="shared" si="7"/>
        <v>Finance and Administration [Core function]  - Human Resources</v>
      </c>
      <c r="U52" s="10">
        <f t="shared" si="19"/>
        <v>69</v>
      </c>
      <c r="W52" s="33"/>
      <c r="X52" s="33"/>
      <c r="Y52" s="10">
        <f t="shared" ref="Y52" si="33">IF(LEN(W52)&gt;0,Y51+1,0)</f>
        <v>0</v>
      </c>
      <c r="AE52" s="3"/>
      <c r="AF52" s="10">
        <f t="shared" ref="AF52" si="34">IF(LEN(AE52)&gt;0,AF51+1,0)</f>
        <v>0</v>
      </c>
      <c r="AH52" s="2"/>
      <c r="AI52" s="10">
        <f t="shared" ref="AI52:AI100" si="35">IF(LEN(AH52)&gt;0,AI51+1,0)</f>
        <v>0</v>
      </c>
      <c r="AK52" s="3"/>
      <c r="AL52" s="10">
        <f t="shared" ref="AL52" si="36">IF(LEN(AK52)&gt;0,AL51+1,0)</f>
        <v>0</v>
      </c>
      <c r="AN52" s="3"/>
      <c r="AO52" s="6"/>
      <c r="AP52" s="9"/>
      <c r="AQ52" s="10">
        <f t="shared" ref="AQ52" si="37">IF(LEN(AN52)&gt;0,AQ51+1,0)</f>
        <v>0</v>
      </c>
      <c r="AS52" s="3"/>
      <c r="AT52" s="10">
        <f t="shared" ref="AT52" si="38">IF(LEN(AS52)&gt;0,AT51+1,0)</f>
        <v>0</v>
      </c>
      <c r="BH52" s="10">
        <f t="shared" ref="BH52" si="39">IF(LEN(BI52)&gt;0,BH51+1,0)</f>
        <v>0</v>
      </c>
      <c r="BI52" s="3"/>
      <c r="BJ52" s="59"/>
      <c r="BL52" s="10">
        <f t="shared" ref="BL52" si="40">IF(LEN(BM52)&gt;0,BL51+1,0)</f>
        <v>0</v>
      </c>
      <c r="BM52" s="3"/>
      <c r="BO52" s="3"/>
      <c r="BY52" s="3"/>
      <c r="BZ52" s="10">
        <f t="shared" ref="BZ52" si="41">IF(LEN(BY52)&gt;0,BZ51+1,0)</f>
        <v>0</v>
      </c>
      <c r="CB52" s="3"/>
      <c r="CC52" s="10">
        <f t="shared" si="18"/>
        <v>0</v>
      </c>
    </row>
    <row r="53" spans="5:81" x14ac:dyDescent="0.25">
      <c r="P53" s="11" t="s">
        <v>226</v>
      </c>
      <c r="Q53" s="10">
        <f t="shared" si="23"/>
        <v>5</v>
      </c>
      <c r="R53" s="13" t="s">
        <v>185</v>
      </c>
      <c r="S53" s="11" t="s">
        <v>273</v>
      </c>
      <c r="T53" s="52" t="str">
        <f t="shared" si="7"/>
        <v>Finance and Administration [Core function]  - Information Technology</v>
      </c>
      <c r="U53" s="10">
        <f t="shared" si="19"/>
        <v>70</v>
      </c>
      <c r="AH53" s="2"/>
      <c r="AI53" s="10">
        <f t="shared" si="35"/>
        <v>0</v>
      </c>
      <c r="BL53" s="10"/>
    </row>
    <row r="54" spans="5:81" x14ac:dyDescent="0.25">
      <c r="P54" s="11" t="s">
        <v>226</v>
      </c>
      <c r="Q54" s="10">
        <f t="shared" si="23"/>
        <v>5</v>
      </c>
      <c r="R54" s="13" t="s">
        <v>185</v>
      </c>
      <c r="S54" s="11" t="s">
        <v>274</v>
      </c>
      <c r="T54" s="52" t="str">
        <f t="shared" si="7"/>
        <v>Finance and Administration [Core function]  - Legal Services</v>
      </c>
      <c r="U54" s="10">
        <f t="shared" si="19"/>
        <v>71</v>
      </c>
      <c r="AH54" s="2"/>
      <c r="AI54" s="10">
        <f t="shared" si="35"/>
        <v>0</v>
      </c>
      <c r="BL54" s="10"/>
    </row>
    <row r="55" spans="5:81" x14ac:dyDescent="0.25">
      <c r="P55" s="11" t="s">
        <v>226</v>
      </c>
      <c r="Q55" s="10">
        <f t="shared" si="23"/>
        <v>5</v>
      </c>
      <c r="R55" s="13" t="s">
        <v>185</v>
      </c>
      <c r="S55" s="11" t="s">
        <v>275</v>
      </c>
      <c r="T55" s="52" t="str">
        <f t="shared" si="7"/>
        <v>Finance and Administration [Core function]  - Marketing, Customer Relations, Publicity and Media Co-ordination</v>
      </c>
      <c r="U55" s="10">
        <f t="shared" si="19"/>
        <v>72</v>
      </c>
      <c r="AH55" s="2"/>
      <c r="AI55" s="10">
        <f t="shared" si="35"/>
        <v>0</v>
      </c>
      <c r="BL55" s="10"/>
    </row>
    <row r="56" spans="5:81" x14ac:dyDescent="0.25">
      <c r="P56" s="11" t="s">
        <v>226</v>
      </c>
      <c r="Q56" s="10">
        <f t="shared" si="23"/>
        <v>5</v>
      </c>
      <c r="R56" s="13" t="s">
        <v>185</v>
      </c>
      <c r="S56" s="11" t="s">
        <v>276</v>
      </c>
      <c r="T56" s="52" t="str">
        <f t="shared" si="7"/>
        <v>Finance and Administration [Core function]  - Property Services</v>
      </c>
      <c r="U56" s="10">
        <f t="shared" si="19"/>
        <v>73</v>
      </c>
      <c r="AH56" s="2"/>
      <c r="AI56" s="10">
        <f t="shared" si="35"/>
        <v>0</v>
      </c>
      <c r="BL56" s="10"/>
    </row>
    <row r="57" spans="5:81" x14ac:dyDescent="0.25">
      <c r="P57" s="11" t="s">
        <v>226</v>
      </c>
      <c r="Q57" s="10">
        <f t="shared" si="23"/>
        <v>5</v>
      </c>
      <c r="R57" s="13" t="s">
        <v>185</v>
      </c>
      <c r="S57" s="11" t="s">
        <v>277</v>
      </c>
      <c r="T57" s="52" t="str">
        <f t="shared" si="7"/>
        <v>Finance and Administration [Core function]  - Risk Management</v>
      </c>
      <c r="U57" s="10">
        <f t="shared" si="19"/>
        <v>74</v>
      </c>
      <c r="AH57" s="39"/>
      <c r="AI57" s="10">
        <f t="shared" si="35"/>
        <v>0</v>
      </c>
      <c r="BL57" s="10"/>
    </row>
    <row r="58" spans="5:81" x14ac:dyDescent="0.25">
      <c r="P58" s="11" t="s">
        <v>226</v>
      </c>
      <c r="Q58" s="10">
        <f t="shared" si="23"/>
        <v>5</v>
      </c>
      <c r="R58" s="13" t="s">
        <v>185</v>
      </c>
      <c r="S58" s="11" t="s">
        <v>278</v>
      </c>
      <c r="T58" s="52" t="str">
        <f t="shared" si="7"/>
        <v>Finance and Administration [Core function]  - Security Services</v>
      </c>
      <c r="U58" s="10">
        <f t="shared" si="19"/>
        <v>75</v>
      </c>
      <c r="AH58" s="39"/>
      <c r="AI58" s="10">
        <f t="shared" si="35"/>
        <v>0</v>
      </c>
      <c r="BL58" s="10"/>
    </row>
    <row r="59" spans="5:81" x14ac:dyDescent="0.25">
      <c r="P59" s="11" t="s">
        <v>226</v>
      </c>
      <c r="Q59" s="10">
        <f t="shared" si="23"/>
        <v>5</v>
      </c>
      <c r="R59" s="13" t="s">
        <v>185</v>
      </c>
      <c r="S59" s="11" t="s">
        <v>279</v>
      </c>
      <c r="T59" s="52" t="str">
        <f t="shared" si="7"/>
        <v xml:space="preserve">Finance and Administration [Core function]  - Supply Chain Management </v>
      </c>
      <c r="U59" s="10">
        <f t="shared" si="19"/>
        <v>76</v>
      </c>
      <c r="AH59" s="39"/>
      <c r="AI59" s="10">
        <f t="shared" si="35"/>
        <v>0</v>
      </c>
      <c r="BL59" s="10"/>
    </row>
    <row r="60" spans="5:81" x14ac:dyDescent="0.25">
      <c r="P60" s="11" t="s">
        <v>226</v>
      </c>
      <c r="Q60" s="10">
        <f t="shared" si="23"/>
        <v>5</v>
      </c>
      <c r="R60" s="13" t="s">
        <v>185</v>
      </c>
      <c r="S60" s="11" t="s">
        <v>280</v>
      </c>
      <c r="T60" s="52" t="str">
        <f t="shared" si="7"/>
        <v>Finance and Administration [Core function]  - Valuation Service</v>
      </c>
      <c r="U60" s="10">
        <f t="shared" si="19"/>
        <v>77</v>
      </c>
      <c r="AH60" s="39"/>
      <c r="AI60" s="10">
        <f t="shared" si="35"/>
        <v>0</v>
      </c>
      <c r="BL60" s="10"/>
    </row>
    <row r="61" spans="5:81" x14ac:dyDescent="0.25">
      <c r="P61" s="11" t="s">
        <v>226</v>
      </c>
      <c r="Q61" s="10">
        <f t="shared" si="23"/>
        <v>5</v>
      </c>
      <c r="R61" s="13" t="s">
        <v>187</v>
      </c>
      <c r="S61" s="11" t="s">
        <v>269</v>
      </c>
      <c r="T61" s="52" t="str">
        <f t="shared" si="7"/>
        <v>Finance and Administration [Non-core Function] - Asset Management</v>
      </c>
      <c r="U61" s="10">
        <f t="shared" si="19"/>
        <v>78</v>
      </c>
      <c r="AH61" s="39"/>
      <c r="AI61" s="10">
        <f t="shared" si="35"/>
        <v>0</v>
      </c>
      <c r="BL61" s="10"/>
    </row>
    <row r="62" spans="5:81" x14ac:dyDescent="0.25">
      <c r="P62" s="11" t="s">
        <v>226</v>
      </c>
      <c r="Q62" s="10">
        <f t="shared" si="23"/>
        <v>5</v>
      </c>
      <c r="R62" s="13" t="s">
        <v>187</v>
      </c>
      <c r="S62" s="11" t="s">
        <v>272</v>
      </c>
      <c r="T62" s="52" t="str">
        <f t="shared" si="7"/>
        <v>Finance and Administration [Non-core Function] - Fleet Management</v>
      </c>
      <c r="U62" s="10">
        <f t="shared" si="19"/>
        <v>79</v>
      </c>
      <c r="AH62" s="39"/>
      <c r="AI62" s="10">
        <f t="shared" si="35"/>
        <v>0</v>
      </c>
      <c r="BL62" s="10"/>
    </row>
    <row r="63" spans="5:81" x14ac:dyDescent="0.25">
      <c r="P63" s="11" t="s">
        <v>226</v>
      </c>
      <c r="Q63" s="10">
        <f t="shared" si="23"/>
        <v>5</v>
      </c>
      <c r="R63" s="13" t="s">
        <v>187</v>
      </c>
      <c r="S63" s="11" t="s">
        <v>186</v>
      </c>
      <c r="T63" s="52" t="str">
        <f t="shared" si="7"/>
        <v>Finance and Administration [Non-core Function] - Human Resources</v>
      </c>
      <c r="U63" s="10">
        <f t="shared" si="19"/>
        <v>80</v>
      </c>
      <c r="AH63" s="39"/>
      <c r="AI63" s="10">
        <f t="shared" si="35"/>
        <v>0</v>
      </c>
      <c r="BL63" s="10"/>
    </row>
    <row r="64" spans="5:81" x14ac:dyDescent="0.25">
      <c r="P64" s="11" t="s">
        <v>226</v>
      </c>
      <c r="Q64" s="10">
        <f t="shared" si="23"/>
        <v>5</v>
      </c>
      <c r="R64" s="13" t="s">
        <v>187</v>
      </c>
      <c r="S64" s="11" t="s">
        <v>273</v>
      </c>
      <c r="T64" s="52" t="str">
        <f t="shared" si="7"/>
        <v>Finance and Administration [Non-core Function] - Information Technology</v>
      </c>
      <c r="U64" s="10">
        <f t="shared" si="19"/>
        <v>81</v>
      </c>
      <c r="AH64" s="39"/>
      <c r="AI64" s="10">
        <f t="shared" si="35"/>
        <v>0</v>
      </c>
      <c r="BL64" s="10"/>
    </row>
    <row r="65" spans="16:64" x14ac:dyDescent="0.25">
      <c r="P65" s="11" t="s">
        <v>226</v>
      </c>
      <c r="Q65" s="10">
        <f t="shared" si="23"/>
        <v>5</v>
      </c>
      <c r="R65" s="13" t="s">
        <v>187</v>
      </c>
      <c r="S65" s="11" t="s">
        <v>274</v>
      </c>
      <c r="T65" s="52" t="str">
        <f t="shared" si="7"/>
        <v>Finance and Administration [Non-core Function] - Legal Services</v>
      </c>
      <c r="U65" s="10">
        <f t="shared" si="19"/>
        <v>82</v>
      </c>
      <c r="AH65" s="39"/>
      <c r="AI65" s="10">
        <f t="shared" si="35"/>
        <v>0</v>
      </c>
      <c r="BL65" s="10"/>
    </row>
    <row r="66" spans="16:64" x14ac:dyDescent="0.25">
      <c r="P66" s="11" t="s">
        <v>226</v>
      </c>
      <c r="Q66" s="10">
        <f t="shared" si="23"/>
        <v>5</v>
      </c>
      <c r="R66" s="13" t="s">
        <v>187</v>
      </c>
      <c r="S66" s="11" t="s">
        <v>275</v>
      </c>
      <c r="T66" s="52" t="str">
        <f t="shared" si="7"/>
        <v>Finance and Administration [Non-core Function] - Marketing, Customer Relations, Publicity and Media Co-ordination</v>
      </c>
      <c r="U66" s="10">
        <f t="shared" si="19"/>
        <v>83</v>
      </c>
      <c r="AH66" s="39"/>
      <c r="AI66" s="10">
        <f t="shared" si="35"/>
        <v>0</v>
      </c>
      <c r="BL66" s="10"/>
    </row>
    <row r="67" spans="16:64" x14ac:dyDescent="0.25">
      <c r="P67" s="11" t="s">
        <v>226</v>
      </c>
      <c r="Q67" s="10">
        <f t="shared" si="23"/>
        <v>5</v>
      </c>
      <c r="R67" s="13" t="s">
        <v>187</v>
      </c>
      <c r="S67" s="11" t="s">
        <v>276</v>
      </c>
      <c r="T67" s="52" t="str">
        <f t="shared" si="7"/>
        <v>Finance and Administration [Non-core Function] - Property Services</v>
      </c>
      <c r="U67" s="10">
        <f t="shared" si="19"/>
        <v>84</v>
      </c>
      <c r="AH67" s="39"/>
      <c r="AI67" s="10">
        <f t="shared" si="35"/>
        <v>0</v>
      </c>
      <c r="BL67" s="10"/>
    </row>
    <row r="68" spans="16:64" x14ac:dyDescent="0.25">
      <c r="P68" s="11" t="s">
        <v>226</v>
      </c>
      <c r="Q68" s="10">
        <f t="shared" si="23"/>
        <v>5</v>
      </c>
      <c r="R68" s="13" t="s">
        <v>187</v>
      </c>
      <c r="S68" s="11" t="s">
        <v>277</v>
      </c>
      <c r="T68" s="52" t="str">
        <f t="shared" ref="T68:T93" si="42">P68&amp;IF(R68="Y"," [Core function] "," [Non-core Function]")&amp;" - "&amp;S68</f>
        <v>Finance and Administration [Non-core Function] - Risk Management</v>
      </c>
      <c r="U68" s="10">
        <f t="shared" si="19"/>
        <v>85</v>
      </c>
      <c r="AH68" s="39"/>
      <c r="AI68" s="10">
        <f t="shared" si="35"/>
        <v>0</v>
      </c>
      <c r="BL68" s="10"/>
    </row>
    <row r="69" spans="16:64" x14ac:dyDescent="0.25">
      <c r="P69" s="11" t="s">
        <v>226</v>
      </c>
      <c r="Q69" s="10">
        <f t="shared" si="23"/>
        <v>5</v>
      </c>
      <c r="R69" s="13" t="s">
        <v>187</v>
      </c>
      <c r="S69" s="11" t="s">
        <v>278</v>
      </c>
      <c r="T69" s="52" t="str">
        <f t="shared" si="42"/>
        <v>Finance and Administration [Non-core Function] - Security Services</v>
      </c>
      <c r="U69" s="10">
        <f t="shared" ref="U69:U93" si="43">U68+1</f>
        <v>86</v>
      </c>
      <c r="AH69" s="39"/>
      <c r="AI69" s="10">
        <f t="shared" si="35"/>
        <v>0</v>
      </c>
      <c r="BL69" s="10"/>
    </row>
    <row r="70" spans="16:64" x14ac:dyDescent="0.25">
      <c r="P70" s="11" t="s">
        <v>149</v>
      </c>
      <c r="Q70" s="10">
        <f t="shared" si="23"/>
        <v>6</v>
      </c>
      <c r="R70" s="13" t="s">
        <v>185</v>
      </c>
      <c r="S70" s="11" t="s">
        <v>281</v>
      </c>
      <c r="T70" s="52" t="str">
        <f t="shared" si="42"/>
        <v>Health [Core function]  - Health Services</v>
      </c>
      <c r="U70" s="10">
        <f t="shared" si="43"/>
        <v>87</v>
      </c>
      <c r="AH70" s="39"/>
      <c r="AI70" s="10">
        <f t="shared" si="35"/>
        <v>0</v>
      </c>
      <c r="BL70" s="10"/>
    </row>
    <row r="71" spans="16:64" x14ac:dyDescent="0.25">
      <c r="P71" s="11" t="s">
        <v>149</v>
      </c>
      <c r="Q71" s="10">
        <f t="shared" si="23"/>
        <v>6</v>
      </c>
      <c r="R71" s="13" t="s">
        <v>185</v>
      </c>
      <c r="S71" s="11" t="s">
        <v>282</v>
      </c>
      <c r="T71" s="52" t="str">
        <f t="shared" si="42"/>
        <v>Health [Core function]  - Laboratory Services</v>
      </c>
      <c r="U71" s="10">
        <f t="shared" si="43"/>
        <v>88</v>
      </c>
      <c r="AH71" s="39"/>
      <c r="AI71" s="10">
        <f t="shared" si="35"/>
        <v>0</v>
      </c>
      <c r="BL71" s="10"/>
    </row>
    <row r="72" spans="16:64" x14ac:dyDescent="0.25">
      <c r="P72" s="11" t="s">
        <v>149</v>
      </c>
      <c r="Q72" s="10">
        <f t="shared" si="23"/>
        <v>6</v>
      </c>
      <c r="R72" s="13" t="s">
        <v>187</v>
      </c>
      <c r="S72" s="11" t="s">
        <v>283</v>
      </c>
      <c r="T72" s="52" t="str">
        <f t="shared" si="42"/>
        <v>Health [Non-core Function] - Ambulance</v>
      </c>
      <c r="U72" s="10">
        <f t="shared" si="43"/>
        <v>89</v>
      </c>
      <c r="AH72" s="39"/>
      <c r="AI72" s="10">
        <f t="shared" si="35"/>
        <v>0</v>
      </c>
      <c r="BL72" s="10"/>
    </row>
    <row r="73" spans="16:64" x14ac:dyDescent="0.25">
      <c r="P73" s="11" t="s">
        <v>149</v>
      </c>
      <c r="Q73" s="10">
        <f t="shared" si="23"/>
        <v>6</v>
      </c>
      <c r="R73" s="13" t="s">
        <v>187</v>
      </c>
      <c r="S73" s="11" t="s">
        <v>281</v>
      </c>
      <c r="T73" s="52" t="str">
        <f t="shared" si="42"/>
        <v>Health [Non-core Function] - Health Services</v>
      </c>
      <c r="U73" s="10">
        <f t="shared" si="43"/>
        <v>90</v>
      </c>
      <c r="AH73" s="39"/>
      <c r="AI73" s="10">
        <f t="shared" si="35"/>
        <v>0</v>
      </c>
      <c r="BL73" s="10"/>
    </row>
    <row r="74" spans="16:64" x14ac:dyDescent="0.25">
      <c r="P74" s="11" t="s">
        <v>148</v>
      </c>
      <c r="Q74" s="10">
        <f t="shared" si="23"/>
        <v>7</v>
      </c>
      <c r="R74" s="13" t="s">
        <v>185</v>
      </c>
      <c r="S74" s="11" t="s">
        <v>148</v>
      </c>
      <c r="T74" s="52" t="str">
        <f t="shared" si="42"/>
        <v>Housing [Core function]  - Housing</v>
      </c>
      <c r="U74" s="10">
        <f t="shared" si="43"/>
        <v>91</v>
      </c>
      <c r="AH74" s="39"/>
      <c r="AI74" s="10">
        <f t="shared" si="35"/>
        <v>0</v>
      </c>
      <c r="BL74" s="10"/>
    </row>
    <row r="75" spans="16:64" x14ac:dyDescent="0.25">
      <c r="P75" s="11" t="s">
        <v>148</v>
      </c>
      <c r="Q75" s="10">
        <f t="shared" si="23"/>
        <v>7</v>
      </c>
      <c r="R75" s="13" t="s">
        <v>185</v>
      </c>
      <c r="S75" s="11" t="s">
        <v>284</v>
      </c>
      <c r="T75" s="52" t="str">
        <f t="shared" si="42"/>
        <v>Housing [Core function]  - Informal Settlements</v>
      </c>
      <c r="U75" s="10">
        <f t="shared" si="43"/>
        <v>92</v>
      </c>
      <c r="AH75" s="39"/>
      <c r="AI75" s="10">
        <f t="shared" si="35"/>
        <v>0</v>
      </c>
      <c r="BL75" s="10"/>
    </row>
    <row r="76" spans="16:64" x14ac:dyDescent="0.25">
      <c r="P76" s="11" t="s">
        <v>148</v>
      </c>
      <c r="Q76" s="10">
        <f t="shared" si="23"/>
        <v>7</v>
      </c>
      <c r="R76" s="13" t="s">
        <v>187</v>
      </c>
      <c r="S76" s="11" t="s">
        <v>148</v>
      </c>
      <c r="T76" s="52" t="str">
        <f t="shared" si="42"/>
        <v>Housing [Non-core Function] - Housing</v>
      </c>
      <c r="U76" s="10">
        <f t="shared" si="43"/>
        <v>93</v>
      </c>
      <c r="AH76" s="39"/>
      <c r="AI76" s="10">
        <f t="shared" si="35"/>
        <v>0</v>
      </c>
      <c r="BL76" s="10"/>
    </row>
    <row r="77" spans="16:64" x14ac:dyDescent="0.25">
      <c r="P77" s="11" t="s">
        <v>148</v>
      </c>
      <c r="Q77" s="10">
        <f t="shared" ref="Q77:Q140" si="44">VLOOKUP(P77,M:N,2,FALSE)</f>
        <v>7</v>
      </c>
      <c r="R77" s="13" t="s">
        <v>187</v>
      </c>
      <c r="S77" s="11" t="s">
        <v>284</v>
      </c>
      <c r="T77" s="52" t="str">
        <f t="shared" si="42"/>
        <v>Housing [Non-core Function] - Informal Settlements</v>
      </c>
      <c r="U77" s="10">
        <f t="shared" si="43"/>
        <v>94</v>
      </c>
      <c r="AH77" s="39"/>
      <c r="AI77" s="10">
        <f t="shared" si="35"/>
        <v>0</v>
      </c>
    </row>
    <row r="78" spans="16:64" x14ac:dyDescent="0.25">
      <c r="P78" s="11" t="s">
        <v>227</v>
      </c>
      <c r="Q78" s="10">
        <f t="shared" si="44"/>
        <v>8</v>
      </c>
      <c r="R78" s="13" t="s">
        <v>185</v>
      </c>
      <c r="S78" s="11" t="s">
        <v>285</v>
      </c>
      <c r="T78" s="52" t="str">
        <f t="shared" si="42"/>
        <v>Internal Audit [Core function]  - Governance Function</v>
      </c>
      <c r="U78" s="10">
        <f t="shared" si="43"/>
        <v>95</v>
      </c>
      <c r="AH78" s="39"/>
      <c r="AI78" s="10">
        <f t="shared" si="35"/>
        <v>0</v>
      </c>
    </row>
    <row r="79" spans="16:64" x14ac:dyDescent="0.25">
      <c r="P79" s="11" t="s">
        <v>91</v>
      </c>
      <c r="Q79" s="10">
        <f t="shared" si="44"/>
        <v>9</v>
      </c>
      <c r="R79" s="13" t="s">
        <v>185</v>
      </c>
      <c r="S79" s="11" t="s">
        <v>286</v>
      </c>
      <c r="T79" s="52" t="str">
        <f t="shared" si="42"/>
        <v>Other [Core function]  - Abattoirs</v>
      </c>
      <c r="U79" s="10">
        <f t="shared" si="43"/>
        <v>96</v>
      </c>
      <c r="AH79" s="39"/>
      <c r="AI79" s="10">
        <f t="shared" si="35"/>
        <v>0</v>
      </c>
    </row>
    <row r="80" spans="16:64" x14ac:dyDescent="0.25">
      <c r="P80" s="11" t="s">
        <v>91</v>
      </c>
      <c r="Q80" s="10">
        <f t="shared" si="44"/>
        <v>9</v>
      </c>
      <c r="R80" s="13" t="s">
        <v>185</v>
      </c>
      <c r="S80" s="11" t="s">
        <v>287</v>
      </c>
      <c r="T80" s="52" t="str">
        <f t="shared" si="42"/>
        <v>Other [Core function]  - Air Transport</v>
      </c>
      <c r="U80" s="10">
        <f t="shared" si="43"/>
        <v>97</v>
      </c>
      <c r="AH80" s="39"/>
      <c r="AI80" s="10">
        <f t="shared" si="35"/>
        <v>0</v>
      </c>
    </row>
    <row r="81" spans="16:35" x14ac:dyDescent="0.25">
      <c r="P81" s="11" t="s">
        <v>91</v>
      </c>
      <c r="Q81" s="10">
        <f t="shared" si="44"/>
        <v>9</v>
      </c>
      <c r="R81" s="13" t="s">
        <v>185</v>
      </c>
      <c r="S81" s="11" t="s">
        <v>288</v>
      </c>
      <c r="T81" s="52" t="str">
        <f t="shared" si="42"/>
        <v xml:space="preserve">Other [Core function]  - Forestry </v>
      </c>
      <c r="U81" s="10">
        <f t="shared" si="43"/>
        <v>98</v>
      </c>
      <c r="AH81" s="39"/>
      <c r="AI81" s="10">
        <f t="shared" si="35"/>
        <v>0</v>
      </c>
    </row>
    <row r="82" spans="16:35" x14ac:dyDescent="0.25">
      <c r="P82" s="11" t="s">
        <v>91</v>
      </c>
      <c r="Q82" s="10">
        <f t="shared" si="44"/>
        <v>9</v>
      </c>
      <c r="R82" s="13" t="s">
        <v>185</v>
      </c>
      <c r="S82" s="11" t="s">
        <v>289</v>
      </c>
      <c r="T82" s="52" t="str">
        <f t="shared" si="42"/>
        <v>Other [Core function]  - Licensing and Regulation</v>
      </c>
      <c r="U82" s="10">
        <f t="shared" si="43"/>
        <v>99</v>
      </c>
      <c r="AH82" s="39"/>
      <c r="AI82" s="10">
        <f t="shared" si="35"/>
        <v>0</v>
      </c>
    </row>
    <row r="83" spans="16:35" x14ac:dyDescent="0.25">
      <c r="P83" s="11" t="s">
        <v>91</v>
      </c>
      <c r="Q83" s="10">
        <f t="shared" si="44"/>
        <v>9</v>
      </c>
      <c r="R83" s="13" t="s">
        <v>185</v>
      </c>
      <c r="S83" s="11" t="s">
        <v>290</v>
      </c>
      <c r="T83" s="52" t="str">
        <f t="shared" si="42"/>
        <v>Other [Core function]  - Markets</v>
      </c>
      <c r="U83" s="10">
        <f t="shared" si="43"/>
        <v>100</v>
      </c>
      <c r="AH83" s="39"/>
      <c r="AI83" s="10">
        <f t="shared" si="35"/>
        <v>0</v>
      </c>
    </row>
    <row r="84" spans="16:35" x14ac:dyDescent="0.25">
      <c r="P84" s="11" t="s">
        <v>91</v>
      </c>
      <c r="Q84" s="10">
        <f t="shared" si="44"/>
        <v>9</v>
      </c>
      <c r="R84" s="13" t="s">
        <v>185</v>
      </c>
      <c r="S84" s="11" t="s">
        <v>291</v>
      </c>
      <c r="T84" s="52" t="str">
        <f t="shared" si="42"/>
        <v>Other [Core function]  - Tourism</v>
      </c>
      <c r="U84" s="10">
        <f t="shared" si="43"/>
        <v>101</v>
      </c>
      <c r="AH84" s="39"/>
      <c r="AI84" s="10">
        <f t="shared" si="35"/>
        <v>0</v>
      </c>
    </row>
    <row r="85" spans="16:35" x14ac:dyDescent="0.25">
      <c r="P85" s="11" t="s">
        <v>91</v>
      </c>
      <c r="Q85" s="10">
        <f t="shared" si="44"/>
        <v>9</v>
      </c>
      <c r="R85" s="13" t="s">
        <v>187</v>
      </c>
      <c r="S85" s="11" t="s">
        <v>286</v>
      </c>
      <c r="T85" s="52" t="str">
        <f t="shared" si="42"/>
        <v>Other [Non-core Function] - Abattoirs</v>
      </c>
      <c r="U85" s="10">
        <f t="shared" si="43"/>
        <v>102</v>
      </c>
      <c r="AH85" s="39"/>
      <c r="AI85" s="10">
        <f t="shared" si="35"/>
        <v>0</v>
      </c>
    </row>
    <row r="86" spans="16:35" x14ac:dyDescent="0.25">
      <c r="P86" s="11" t="s">
        <v>91</v>
      </c>
      <c r="Q86" s="10">
        <f t="shared" si="44"/>
        <v>9</v>
      </c>
      <c r="R86" s="13" t="s">
        <v>187</v>
      </c>
      <c r="S86" s="11" t="s">
        <v>287</v>
      </c>
      <c r="T86" s="52" t="str">
        <f t="shared" si="42"/>
        <v>Other [Non-core Function] - Air Transport</v>
      </c>
      <c r="U86" s="10">
        <f t="shared" si="43"/>
        <v>103</v>
      </c>
      <c r="AH86" s="39"/>
      <c r="AI86" s="10">
        <f t="shared" si="35"/>
        <v>0</v>
      </c>
    </row>
    <row r="87" spans="16:35" x14ac:dyDescent="0.25">
      <c r="P87" s="11" t="s">
        <v>91</v>
      </c>
      <c r="Q87" s="10">
        <f t="shared" si="44"/>
        <v>9</v>
      </c>
      <c r="R87" s="13" t="s">
        <v>187</v>
      </c>
      <c r="S87" s="11" t="s">
        <v>292</v>
      </c>
      <c r="T87" s="52" t="str">
        <f t="shared" si="42"/>
        <v>Other [Non-core Function] - Forestry</v>
      </c>
      <c r="U87" s="10">
        <f t="shared" si="43"/>
        <v>104</v>
      </c>
      <c r="AH87" s="39"/>
      <c r="AI87" s="10">
        <f t="shared" si="35"/>
        <v>0</v>
      </c>
    </row>
    <row r="88" spans="16:35" x14ac:dyDescent="0.25">
      <c r="P88" s="11" t="s">
        <v>91</v>
      </c>
      <c r="Q88" s="10">
        <f t="shared" si="44"/>
        <v>9</v>
      </c>
      <c r="R88" s="13" t="s">
        <v>187</v>
      </c>
      <c r="S88" s="11" t="s">
        <v>289</v>
      </c>
      <c r="T88" s="52" t="str">
        <f t="shared" si="42"/>
        <v>Other [Non-core Function] - Licensing and Regulation</v>
      </c>
      <c r="U88" s="10">
        <f t="shared" si="43"/>
        <v>105</v>
      </c>
      <c r="AH88" s="39"/>
      <c r="AI88" s="10">
        <f t="shared" si="35"/>
        <v>0</v>
      </c>
    </row>
    <row r="89" spans="16:35" x14ac:dyDescent="0.25">
      <c r="P89" s="11" t="s">
        <v>91</v>
      </c>
      <c r="Q89" s="10">
        <f t="shared" si="44"/>
        <v>9</v>
      </c>
      <c r="R89" s="13" t="s">
        <v>187</v>
      </c>
      <c r="S89" s="11" t="s">
        <v>290</v>
      </c>
      <c r="T89" s="52" t="str">
        <f t="shared" si="42"/>
        <v>Other [Non-core Function] - Markets</v>
      </c>
      <c r="U89" s="10">
        <f t="shared" si="43"/>
        <v>106</v>
      </c>
      <c r="AH89" s="39"/>
      <c r="AI89" s="10">
        <f t="shared" si="35"/>
        <v>0</v>
      </c>
    </row>
    <row r="90" spans="16:35" x14ac:dyDescent="0.25">
      <c r="P90" s="11" t="s">
        <v>91</v>
      </c>
      <c r="Q90" s="10">
        <f t="shared" si="44"/>
        <v>9</v>
      </c>
      <c r="R90" s="13" t="s">
        <v>187</v>
      </c>
      <c r="S90" s="11" t="s">
        <v>291</v>
      </c>
      <c r="T90" s="52" t="str">
        <f t="shared" si="42"/>
        <v>Other [Non-core Function] - Tourism</v>
      </c>
      <c r="U90" s="10">
        <f t="shared" si="43"/>
        <v>107</v>
      </c>
      <c r="AH90" s="39"/>
      <c r="AI90" s="10">
        <f t="shared" si="35"/>
        <v>0</v>
      </c>
    </row>
    <row r="91" spans="16:35" x14ac:dyDescent="0.25">
      <c r="P91" s="11" t="s">
        <v>228</v>
      </c>
      <c r="Q91" s="10">
        <f t="shared" si="44"/>
        <v>10</v>
      </c>
      <c r="R91" s="13" t="s">
        <v>185</v>
      </c>
      <c r="S91" s="11" t="s">
        <v>293</v>
      </c>
      <c r="T91" s="52" t="str">
        <f t="shared" si="42"/>
        <v>Planning and Development [Core function]  - Billboards</v>
      </c>
      <c r="U91" s="10">
        <f t="shared" si="43"/>
        <v>108</v>
      </c>
      <c r="AH91" s="39"/>
      <c r="AI91" s="10">
        <f t="shared" si="35"/>
        <v>0</v>
      </c>
    </row>
    <row r="92" spans="16:35" x14ac:dyDescent="0.25">
      <c r="P92" s="11" t="s">
        <v>228</v>
      </c>
      <c r="Q92" s="10">
        <f t="shared" si="44"/>
        <v>10</v>
      </c>
      <c r="R92" s="13" t="s">
        <v>185</v>
      </c>
      <c r="S92" s="11" t="s">
        <v>294</v>
      </c>
      <c r="T92" s="52" t="str">
        <f t="shared" si="42"/>
        <v>Planning and Development [Core function]  - Corporate Wide Strategic Planning (IDPs, LEDs)</v>
      </c>
      <c r="U92" s="10">
        <f t="shared" si="43"/>
        <v>109</v>
      </c>
      <c r="AH92" s="39"/>
      <c r="AI92" s="10">
        <f t="shared" si="35"/>
        <v>0</v>
      </c>
    </row>
    <row r="93" spans="16:35" x14ac:dyDescent="0.25">
      <c r="P93" s="11" t="s">
        <v>228</v>
      </c>
      <c r="Q93" s="10">
        <f t="shared" si="44"/>
        <v>10</v>
      </c>
      <c r="R93" s="13" t="s">
        <v>185</v>
      </c>
      <c r="S93" s="11" t="s">
        <v>295</v>
      </c>
      <c r="T93" s="52" t="str">
        <f t="shared" si="42"/>
        <v>Planning and Development [Core function]  - Central City Improvement District</v>
      </c>
      <c r="U93" s="10">
        <f t="shared" si="43"/>
        <v>110</v>
      </c>
      <c r="AH93" s="39"/>
      <c r="AI93" s="10">
        <f t="shared" si="35"/>
        <v>0</v>
      </c>
    </row>
    <row r="94" spans="16:35" x14ac:dyDescent="0.25">
      <c r="P94" s="11" t="s">
        <v>228</v>
      </c>
      <c r="Q94" s="10">
        <f t="shared" si="44"/>
        <v>10</v>
      </c>
      <c r="R94" s="13" t="s">
        <v>185</v>
      </c>
      <c r="S94" s="11" t="s">
        <v>296</v>
      </c>
      <c r="T94" s="52" t="str">
        <f t="shared" ref="T94:T151" si="45">P94&amp;IF(R94="Y"," [Core function] "," [Non-core Function]")&amp;" - "&amp;S94</f>
        <v>Planning and Development [Core function]  - Development Facilitation</v>
      </c>
      <c r="U94" s="10">
        <f t="shared" ref="U94:U151" si="46">U93+1</f>
        <v>111</v>
      </c>
      <c r="AH94" s="39"/>
      <c r="AI94" s="10">
        <f t="shared" si="35"/>
        <v>0</v>
      </c>
    </row>
    <row r="95" spans="16:35" x14ac:dyDescent="0.25">
      <c r="P95" s="11" t="s">
        <v>228</v>
      </c>
      <c r="Q95" s="10">
        <f t="shared" si="44"/>
        <v>10</v>
      </c>
      <c r="R95" s="13" t="s">
        <v>185</v>
      </c>
      <c r="S95" s="11" t="s">
        <v>297</v>
      </c>
      <c r="T95" s="52" t="str">
        <f t="shared" si="45"/>
        <v>Planning and Development [Core function]  - Economic Development/Planning</v>
      </c>
      <c r="U95" s="10">
        <f t="shared" si="46"/>
        <v>112</v>
      </c>
      <c r="AH95" s="39"/>
      <c r="AI95" s="10">
        <f t="shared" si="35"/>
        <v>0</v>
      </c>
    </row>
    <row r="96" spans="16:35" x14ac:dyDescent="0.25">
      <c r="P96" s="11" t="s">
        <v>228</v>
      </c>
      <c r="Q96" s="10">
        <f t="shared" si="44"/>
        <v>10</v>
      </c>
      <c r="R96" s="13" t="s">
        <v>185</v>
      </c>
      <c r="S96" s="11" t="s">
        <v>298</v>
      </c>
      <c r="T96" s="52" t="str">
        <f t="shared" si="45"/>
        <v>Planning and Development [Core function]  - Town Planning, Building Regulations and Enforcement, and City Engineer</v>
      </c>
      <c r="U96" s="10">
        <f t="shared" si="46"/>
        <v>113</v>
      </c>
      <c r="AH96" s="39"/>
      <c r="AI96" s="10">
        <f t="shared" si="35"/>
        <v>0</v>
      </c>
    </row>
    <row r="97" spans="16:35" x14ac:dyDescent="0.25">
      <c r="P97" s="11" t="s">
        <v>228</v>
      </c>
      <c r="Q97" s="10">
        <f t="shared" si="44"/>
        <v>10</v>
      </c>
      <c r="R97" s="13" t="s">
        <v>185</v>
      </c>
      <c r="S97" s="11" t="s">
        <v>299</v>
      </c>
      <c r="T97" s="52" t="str">
        <f t="shared" si="45"/>
        <v>Planning and Development [Core function]  - Project Management Unit</v>
      </c>
      <c r="U97" s="10">
        <f t="shared" si="46"/>
        <v>114</v>
      </c>
      <c r="AH97" s="39"/>
      <c r="AI97" s="10">
        <f t="shared" si="35"/>
        <v>0</v>
      </c>
    </row>
    <row r="98" spans="16:35" x14ac:dyDescent="0.25">
      <c r="P98" s="11" t="s">
        <v>228</v>
      </c>
      <c r="Q98" s="10">
        <f t="shared" si="44"/>
        <v>10</v>
      </c>
      <c r="R98" s="13" t="s">
        <v>185</v>
      </c>
      <c r="S98" s="11" t="s">
        <v>300</v>
      </c>
      <c r="T98" s="52" t="str">
        <f t="shared" si="45"/>
        <v>Planning and Development [Core function]  - Support to Local Municipalities</v>
      </c>
      <c r="U98" s="10">
        <f t="shared" si="46"/>
        <v>115</v>
      </c>
      <c r="AH98" s="39"/>
      <c r="AI98" s="10">
        <f t="shared" si="35"/>
        <v>0</v>
      </c>
    </row>
    <row r="99" spans="16:35" x14ac:dyDescent="0.25">
      <c r="P99" s="11" t="s">
        <v>228</v>
      </c>
      <c r="Q99" s="10">
        <f t="shared" si="44"/>
        <v>10</v>
      </c>
      <c r="R99" s="13" t="s">
        <v>187</v>
      </c>
      <c r="S99" s="11" t="s">
        <v>301</v>
      </c>
      <c r="T99" s="52" t="str">
        <f t="shared" si="45"/>
        <v>Planning and Development [Non-core Function] - Provincial Planning</v>
      </c>
      <c r="U99" s="10">
        <f t="shared" si="46"/>
        <v>116</v>
      </c>
      <c r="AH99" s="39"/>
      <c r="AI99" s="10">
        <f t="shared" si="35"/>
        <v>0</v>
      </c>
    </row>
    <row r="100" spans="16:35" x14ac:dyDescent="0.25">
      <c r="P100" s="11" t="s">
        <v>228</v>
      </c>
      <c r="Q100" s="10">
        <f t="shared" si="44"/>
        <v>10</v>
      </c>
      <c r="R100" s="13" t="s">
        <v>187</v>
      </c>
      <c r="S100" s="11" t="s">
        <v>302</v>
      </c>
      <c r="T100" s="52" t="str">
        <f t="shared" si="45"/>
        <v>Planning and Development [Non-core Function] - Regional Planning and Development</v>
      </c>
      <c r="U100" s="10">
        <f t="shared" si="46"/>
        <v>117</v>
      </c>
      <c r="AH100" s="40"/>
      <c r="AI100" s="10">
        <f t="shared" si="35"/>
        <v>0</v>
      </c>
    </row>
    <row r="101" spans="16:35" x14ac:dyDescent="0.25">
      <c r="P101" s="11" t="s">
        <v>228</v>
      </c>
      <c r="Q101" s="10">
        <f t="shared" si="44"/>
        <v>10</v>
      </c>
      <c r="R101" s="13" t="s">
        <v>187</v>
      </c>
      <c r="S101" s="11" t="s">
        <v>295</v>
      </c>
      <c r="T101" s="52" t="str">
        <f t="shared" si="45"/>
        <v>Planning and Development [Non-core Function] - Central City Improvement District</v>
      </c>
      <c r="U101" s="10">
        <f t="shared" si="46"/>
        <v>118</v>
      </c>
    </row>
    <row r="102" spans="16:35" x14ac:dyDescent="0.25">
      <c r="P102" s="11" t="s">
        <v>229</v>
      </c>
      <c r="Q102" s="10">
        <f t="shared" si="44"/>
        <v>11</v>
      </c>
      <c r="R102" s="13" t="s">
        <v>185</v>
      </c>
      <c r="S102" s="11" t="s">
        <v>303</v>
      </c>
      <c r="T102" s="52" t="str">
        <f t="shared" si="45"/>
        <v>Public Safety [Core function]  - Civil Defence</v>
      </c>
      <c r="U102" s="10">
        <f t="shared" si="46"/>
        <v>119</v>
      </c>
    </row>
    <row r="103" spans="16:35" x14ac:dyDescent="0.25">
      <c r="P103" s="11" t="s">
        <v>229</v>
      </c>
      <c r="Q103" s="10">
        <f t="shared" si="44"/>
        <v>11</v>
      </c>
      <c r="R103" s="13" t="s">
        <v>185</v>
      </c>
      <c r="S103" s="11" t="s">
        <v>304</v>
      </c>
      <c r="T103" s="52" t="str">
        <f t="shared" si="45"/>
        <v>Public Safety [Core function]  - Cleansing</v>
      </c>
      <c r="U103" s="10">
        <f t="shared" si="46"/>
        <v>120</v>
      </c>
    </row>
    <row r="104" spans="16:35" x14ac:dyDescent="0.25">
      <c r="P104" s="11" t="s">
        <v>229</v>
      </c>
      <c r="Q104" s="10">
        <f t="shared" si="44"/>
        <v>11</v>
      </c>
      <c r="R104" s="13" t="s">
        <v>185</v>
      </c>
      <c r="S104" s="11" t="s">
        <v>305</v>
      </c>
      <c r="T104" s="52" t="str">
        <f t="shared" si="45"/>
        <v>Public Safety [Core function]  - Control of Public Nuisances</v>
      </c>
      <c r="U104" s="10">
        <f t="shared" si="46"/>
        <v>121</v>
      </c>
    </row>
    <row r="105" spans="16:35" x14ac:dyDescent="0.25">
      <c r="P105" s="11" t="s">
        <v>229</v>
      </c>
      <c r="Q105" s="10">
        <f t="shared" si="44"/>
        <v>11</v>
      </c>
      <c r="R105" s="13" t="s">
        <v>185</v>
      </c>
      <c r="S105" s="11" t="s">
        <v>306</v>
      </c>
      <c r="T105" s="52" t="str">
        <f t="shared" si="45"/>
        <v xml:space="preserve">Public Safety [Core function]  - Fencing and Fences </v>
      </c>
      <c r="U105" s="10">
        <f t="shared" si="46"/>
        <v>122</v>
      </c>
    </row>
    <row r="106" spans="16:35" x14ac:dyDescent="0.25">
      <c r="P106" s="11" t="s">
        <v>229</v>
      </c>
      <c r="Q106" s="10">
        <f t="shared" si="44"/>
        <v>11</v>
      </c>
      <c r="R106" s="13" t="s">
        <v>185</v>
      </c>
      <c r="S106" s="11" t="s">
        <v>307</v>
      </c>
      <c r="T106" s="52" t="str">
        <f t="shared" si="45"/>
        <v>Public Safety [Core function]  - Fire Fighting and Protection</v>
      </c>
      <c r="U106" s="10">
        <f t="shared" si="46"/>
        <v>123</v>
      </c>
    </row>
    <row r="107" spans="16:35" x14ac:dyDescent="0.25">
      <c r="P107" s="11" t="s">
        <v>229</v>
      </c>
      <c r="Q107" s="10">
        <f t="shared" si="44"/>
        <v>11</v>
      </c>
      <c r="R107" s="13" t="s">
        <v>185</v>
      </c>
      <c r="S107" s="11" t="s">
        <v>308</v>
      </c>
      <c r="T107" s="52" t="str">
        <f t="shared" si="45"/>
        <v>Public Safety [Core function]  - Licensing and Control of Animals</v>
      </c>
      <c r="U107" s="10">
        <f t="shared" si="46"/>
        <v>124</v>
      </c>
    </row>
    <row r="108" spans="16:35" x14ac:dyDescent="0.25">
      <c r="P108" s="11" t="s">
        <v>229</v>
      </c>
      <c r="Q108" s="10">
        <f t="shared" si="44"/>
        <v>11</v>
      </c>
      <c r="R108" s="13" t="s">
        <v>185</v>
      </c>
      <c r="S108" s="11" t="s">
        <v>309</v>
      </c>
      <c r="T108" s="52" t="str">
        <f t="shared" si="45"/>
        <v>Public Safety [Core function]  - Police Forces, Traffic and Street Parking Control</v>
      </c>
      <c r="U108" s="10">
        <f t="shared" si="46"/>
        <v>125</v>
      </c>
    </row>
    <row r="109" spans="16:35" x14ac:dyDescent="0.25">
      <c r="P109" s="11" t="s">
        <v>229</v>
      </c>
      <c r="Q109" s="10">
        <f t="shared" si="44"/>
        <v>11</v>
      </c>
      <c r="R109" s="13" t="s">
        <v>187</v>
      </c>
      <c r="S109" s="11" t="s">
        <v>304</v>
      </c>
      <c r="T109" s="52" t="str">
        <f t="shared" si="45"/>
        <v>Public Safety [Non-core Function] - Cleansing</v>
      </c>
      <c r="U109" s="10">
        <f t="shared" si="46"/>
        <v>126</v>
      </c>
    </row>
    <row r="110" spans="16:35" x14ac:dyDescent="0.25">
      <c r="P110" s="11" t="s">
        <v>229</v>
      </c>
      <c r="Q110" s="10">
        <f t="shared" si="44"/>
        <v>11</v>
      </c>
      <c r="R110" s="13" t="s">
        <v>187</v>
      </c>
      <c r="S110" s="11" t="s">
        <v>307</v>
      </c>
      <c r="T110" s="52" t="str">
        <f t="shared" si="45"/>
        <v>Public Safety [Non-core Function] - Fire Fighting and Protection</v>
      </c>
      <c r="U110" s="10">
        <f t="shared" si="46"/>
        <v>127</v>
      </c>
    </row>
    <row r="111" spans="16:35" x14ac:dyDescent="0.25">
      <c r="P111" s="11" t="s">
        <v>230</v>
      </c>
      <c r="Q111" s="10">
        <f t="shared" si="44"/>
        <v>12</v>
      </c>
      <c r="R111" s="13" t="s">
        <v>185</v>
      </c>
      <c r="S111" s="11" t="s">
        <v>309</v>
      </c>
      <c r="T111" s="52" t="str">
        <f t="shared" si="45"/>
        <v>Road Transport [Core function]  - Police Forces, Traffic and Street Parking Control</v>
      </c>
      <c r="U111" s="10">
        <f t="shared" si="46"/>
        <v>128</v>
      </c>
    </row>
    <row r="112" spans="16:35" x14ac:dyDescent="0.25">
      <c r="P112" s="11" t="s">
        <v>230</v>
      </c>
      <c r="Q112" s="10">
        <f t="shared" si="44"/>
        <v>12</v>
      </c>
      <c r="R112" s="13" t="s">
        <v>185</v>
      </c>
      <c r="S112" s="11" t="s">
        <v>310</v>
      </c>
      <c r="T112" s="52" t="str">
        <f t="shared" si="45"/>
        <v>Road Transport [Core function]  - Pounds</v>
      </c>
      <c r="U112" s="10">
        <f t="shared" si="46"/>
        <v>129</v>
      </c>
    </row>
    <row r="113" spans="16:21" x14ac:dyDescent="0.25">
      <c r="P113" s="11" t="s">
        <v>230</v>
      </c>
      <c r="Q113" s="10">
        <f t="shared" si="44"/>
        <v>12</v>
      </c>
      <c r="R113" s="13" t="s">
        <v>185</v>
      </c>
      <c r="S113" s="11" t="s">
        <v>311</v>
      </c>
      <c r="T113" s="52" t="str">
        <f t="shared" si="45"/>
        <v>Road Transport [Core function]  - Public Transport</v>
      </c>
      <c r="U113" s="10">
        <f t="shared" si="46"/>
        <v>130</v>
      </c>
    </row>
    <row r="114" spans="16:21" x14ac:dyDescent="0.25">
      <c r="P114" s="11" t="s">
        <v>230</v>
      </c>
      <c r="Q114" s="10">
        <f t="shared" si="44"/>
        <v>12</v>
      </c>
      <c r="R114" s="13" t="s">
        <v>185</v>
      </c>
      <c r="S114" s="11" t="s">
        <v>312</v>
      </c>
      <c r="T114" s="52" t="str">
        <f t="shared" si="45"/>
        <v>Road Transport [Core function]  - Roads</v>
      </c>
      <c r="U114" s="10">
        <f t="shared" si="46"/>
        <v>131</v>
      </c>
    </row>
    <row r="115" spans="16:21" x14ac:dyDescent="0.25">
      <c r="P115" s="11" t="s">
        <v>230</v>
      </c>
      <c r="Q115" s="10">
        <f t="shared" si="44"/>
        <v>12</v>
      </c>
      <c r="R115" s="13" t="s">
        <v>185</v>
      </c>
      <c r="S115" s="11" t="s">
        <v>313</v>
      </c>
      <c r="T115" s="52" t="str">
        <f t="shared" si="45"/>
        <v>Road Transport [Core function]  - Taxi Ranks</v>
      </c>
      <c r="U115" s="10">
        <f t="shared" si="46"/>
        <v>132</v>
      </c>
    </row>
    <row r="116" spans="16:21" x14ac:dyDescent="0.25">
      <c r="P116" s="11" t="s">
        <v>230</v>
      </c>
      <c r="Q116" s="10">
        <f t="shared" si="44"/>
        <v>12</v>
      </c>
      <c r="R116" s="13" t="s">
        <v>187</v>
      </c>
      <c r="S116" s="11" t="s">
        <v>314</v>
      </c>
      <c r="T116" s="52" t="str">
        <f t="shared" si="45"/>
        <v>Road Transport [Non-core Function] - Road and Traffic Regulation</v>
      </c>
      <c r="U116" s="10">
        <f t="shared" si="46"/>
        <v>133</v>
      </c>
    </row>
    <row r="117" spans="16:21" x14ac:dyDescent="0.25">
      <c r="P117" s="11" t="s">
        <v>230</v>
      </c>
      <c r="Q117" s="10">
        <f t="shared" si="44"/>
        <v>12</v>
      </c>
      <c r="R117" s="13" t="s">
        <v>187</v>
      </c>
      <c r="S117" s="11" t="s">
        <v>311</v>
      </c>
      <c r="T117" s="52" t="str">
        <f t="shared" si="45"/>
        <v>Road Transport [Non-core Function] - Public Transport</v>
      </c>
      <c r="U117" s="10">
        <f t="shared" si="46"/>
        <v>134</v>
      </c>
    </row>
    <row r="118" spans="16:21" x14ac:dyDescent="0.25">
      <c r="P118" s="11" t="s">
        <v>230</v>
      </c>
      <c r="Q118" s="10">
        <f t="shared" si="44"/>
        <v>12</v>
      </c>
      <c r="R118" s="13" t="s">
        <v>187</v>
      </c>
      <c r="S118" s="11" t="s">
        <v>312</v>
      </c>
      <c r="T118" s="52" t="str">
        <f t="shared" si="45"/>
        <v>Road Transport [Non-core Function] - Roads</v>
      </c>
      <c r="U118" s="10">
        <f t="shared" si="46"/>
        <v>135</v>
      </c>
    </row>
    <row r="119" spans="16:21" x14ac:dyDescent="0.25">
      <c r="P119" s="11" t="s">
        <v>230</v>
      </c>
      <c r="Q119" s="10">
        <f t="shared" si="44"/>
        <v>12</v>
      </c>
      <c r="R119" s="13" t="s">
        <v>187</v>
      </c>
      <c r="S119" s="11" t="s">
        <v>313</v>
      </c>
      <c r="T119" s="52" t="str">
        <f t="shared" si="45"/>
        <v>Road Transport [Non-core Function] - Taxi Ranks</v>
      </c>
      <c r="U119" s="10">
        <f t="shared" si="46"/>
        <v>136</v>
      </c>
    </row>
    <row r="120" spans="16:21" x14ac:dyDescent="0.25">
      <c r="P120" s="11" t="s">
        <v>231</v>
      </c>
      <c r="Q120" s="10">
        <f t="shared" si="44"/>
        <v>13</v>
      </c>
      <c r="R120" s="13" t="s">
        <v>185</v>
      </c>
      <c r="S120" s="11" t="s">
        <v>315</v>
      </c>
      <c r="T120" s="52" t="str">
        <f t="shared" si="45"/>
        <v xml:space="preserve">Sport and Recreation [Core function]  - Beaches and Jetties </v>
      </c>
      <c r="U120" s="10">
        <f t="shared" si="46"/>
        <v>137</v>
      </c>
    </row>
    <row r="121" spans="16:21" x14ac:dyDescent="0.25">
      <c r="P121" s="11" t="s">
        <v>231</v>
      </c>
      <c r="Q121" s="10">
        <f t="shared" si="44"/>
        <v>13</v>
      </c>
      <c r="R121" s="13" t="s">
        <v>185</v>
      </c>
      <c r="S121" s="11" t="s">
        <v>316</v>
      </c>
      <c r="T121" s="52" t="str">
        <f t="shared" si="45"/>
        <v>Sport and Recreation [Core function]  - Community Parks (including Nurseries)</v>
      </c>
      <c r="U121" s="10">
        <f t="shared" si="46"/>
        <v>138</v>
      </c>
    </row>
    <row r="122" spans="16:21" x14ac:dyDescent="0.25">
      <c r="P122" s="11" t="s">
        <v>231</v>
      </c>
      <c r="Q122" s="10">
        <f t="shared" si="44"/>
        <v>13</v>
      </c>
      <c r="R122" s="13" t="s">
        <v>185</v>
      </c>
      <c r="S122" s="11" t="s">
        <v>317</v>
      </c>
      <c r="T122" s="52" t="str">
        <f t="shared" si="45"/>
        <v>Sport and Recreation [Core function]  - Recreational Facilities</v>
      </c>
      <c r="U122" s="10">
        <f t="shared" si="46"/>
        <v>139</v>
      </c>
    </row>
    <row r="123" spans="16:21" x14ac:dyDescent="0.25">
      <c r="P123" s="11" t="s">
        <v>231</v>
      </c>
      <c r="Q123" s="10">
        <f t="shared" si="44"/>
        <v>13</v>
      </c>
      <c r="R123" s="13" t="s">
        <v>185</v>
      </c>
      <c r="S123" s="11" t="s">
        <v>318</v>
      </c>
      <c r="T123" s="52" t="str">
        <f t="shared" si="45"/>
        <v>Sport and Recreation [Core function]  - Sports Grounds and Stadiums</v>
      </c>
      <c r="U123" s="10">
        <f t="shared" si="46"/>
        <v>140</v>
      </c>
    </row>
    <row r="124" spans="16:21" x14ac:dyDescent="0.25">
      <c r="P124" s="11" t="s">
        <v>231</v>
      </c>
      <c r="Q124" s="10">
        <f t="shared" si="44"/>
        <v>13</v>
      </c>
      <c r="R124" s="13" t="s">
        <v>187</v>
      </c>
      <c r="S124" s="11" t="s">
        <v>319</v>
      </c>
      <c r="T124" s="52" t="str">
        <f t="shared" si="45"/>
        <v>Sport and Recreation [Non-core Function] - Casinos, Racing, Gambling, Wagering</v>
      </c>
      <c r="U124" s="10">
        <f t="shared" si="46"/>
        <v>141</v>
      </c>
    </row>
    <row r="125" spans="16:21" x14ac:dyDescent="0.25">
      <c r="P125" s="11" t="s">
        <v>231</v>
      </c>
      <c r="Q125" s="10">
        <f t="shared" si="44"/>
        <v>13</v>
      </c>
      <c r="R125" s="13" t="s">
        <v>187</v>
      </c>
      <c r="S125" s="11" t="s">
        <v>316</v>
      </c>
      <c r="T125" s="52" t="str">
        <f t="shared" si="45"/>
        <v>Sport and Recreation [Non-core Function] - Community Parks (including Nurseries)</v>
      </c>
      <c r="U125" s="10">
        <f t="shared" si="46"/>
        <v>142</v>
      </c>
    </row>
    <row r="126" spans="16:21" x14ac:dyDescent="0.25">
      <c r="P126" s="11" t="s">
        <v>231</v>
      </c>
      <c r="Q126" s="10">
        <f t="shared" si="44"/>
        <v>13</v>
      </c>
      <c r="R126" s="13" t="s">
        <v>187</v>
      </c>
      <c r="S126" s="11" t="s">
        <v>317</v>
      </c>
      <c r="T126" s="52" t="str">
        <f t="shared" si="45"/>
        <v>Sport and Recreation [Non-core Function] - Recreational Facilities</v>
      </c>
      <c r="U126" s="10">
        <f t="shared" si="46"/>
        <v>143</v>
      </c>
    </row>
    <row r="127" spans="16:21" x14ac:dyDescent="0.25">
      <c r="P127" s="11" t="s">
        <v>231</v>
      </c>
      <c r="Q127" s="10">
        <f t="shared" si="44"/>
        <v>13</v>
      </c>
      <c r="R127" s="13" t="s">
        <v>187</v>
      </c>
      <c r="S127" s="11" t="s">
        <v>318</v>
      </c>
      <c r="T127" s="52" t="str">
        <f t="shared" si="45"/>
        <v>Sport and Recreation [Non-core Function] - Sports Grounds and Stadiums</v>
      </c>
      <c r="U127" s="10">
        <f t="shared" si="46"/>
        <v>144</v>
      </c>
    </row>
    <row r="128" spans="16:21" x14ac:dyDescent="0.25">
      <c r="P128" s="11" t="s">
        <v>231</v>
      </c>
      <c r="Q128" s="10">
        <f t="shared" si="44"/>
        <v>13</v>
      </c>
      <c r="R128" s="13" t="s">
        <v>187</v>
      </c>
      <c r="S128" s="11" t="s">
        <v>320</v>
      </c>
      <c r="T128" s="52" t="str">
        <f t="shared" si="45"/>
        <v>Sport and Recreation [Non-core Function] - Swimming Pools</v>
      </c>
      <c r="U128" s="10">
        <f t="shared" si="46"/>
        <v>145</v>
      </c>
    </row>
    <row r="129" spans="16:21" x14ac:dyDescent="0.25">
      <c r="P129" s="11" t="s">
        <v>232</v>
      </c>
      <c r="Q129" s="10">
        <f t="shared" si="44"/>
        <v>14</v>
      </c>
      <c r="R129" s="13" t="s">
        <v>185</v>
      </c>
      <c r="S129" s="11" t="s">
        <v>321</v>
      </c>
      <c r="T129" s="52" t="str">
        <f t="shared" si="45"/>
        <v>Waste Management [Core function]  - Recycling</v>
      </c>
      <c r="U129" s="10">
        <f t="shared" si="46"/>
        <v>146</v>
      </c>
    </row>
    <row r="130" spans="16:21" x14ac:dyDescent="0.25">
      <c r="P130" s="11" t="s">
        <v>232</v>
      </c>
      <c r="Q130" s="10">
        <f t="shared" si="44"/>
        <v>14</v>
      </c>
      <c r="R130" s="13" t="s">
        <v>185</v>
      </c>
      <c r="S130" s="11" t="s">
        <v>322</v>
      </c>
      <c r="T130" s="52" t="str">
        <f t="shared" si="45"/>
        <v>Waste Management [Core function]  - Solid Waste Disposal (Landfill Sites)</v>
      </c>
      <c r="U130" s="10">
        <f t="shared" si="46"/>
        <v>147</v>
      </c>
    </row>
    <row r="131" spans="16:21" x14ac:dyDescent="0.25">
      <c r="P131" s="11" t="s">
        <v>232</v>
      </c>
      <c r="Q131" s="10">
        <f t="shared" si="44"/>
        <v>14</v>
      </c>
      <c r="R131" s="13" t="s">
        <v>185</v>
      </c>
      <c r="S131" s="11" t="s">
        <v>323</v>
      </c>
      <c r="T131" s="52" t="str">
        <f t="shared" si="45"/>
        <v>Waste Management [Core function]  - Solid Waste Removal</v>
      </c>
      <c r="U131" s="10">
        <f t="shared" si="46"/>
        <v>148</v>
      </c>
    </row>
    <row r="132" spans="16:21" x14ac:dyDescent="0.25">
      <c r="P132" s="11" t="s">
        <v>232</v>
      </c>
      <c r="Q132" s="10">
        <f t="shared" si="44"/>
        <v>14</v>
      </c>
      <c r="R132" s="13" t="s">
        <v>185</v>
      </c>
      <c r="S132" s="11" t="s">
        <v>324</v>
      </c>
      <c r="T132" s="52" t="str">
        <f t="shared" si="45"/>
        <v>Waste Management [Core function]  - Street Cleaning</v>
      </c>
      <c r="U132" s="10">
        <f t="shared" si="46"/>
        <v>149</v>
      </c>
    </row>
    <row r="133" spans="16:21" x14ac:dyDescent="0.25">
      <c r="P133" s="11" t="s">
        <v>232</v>
      </c>
      <c r="Q133" s="10">
        <f t="shared" si="44"/>
        <v>14</v>
      </c>
      <c r="R133" s="13" t="s">
        <v>187</v>
      </c>
      <c r="S133" s="11" t="s">
        <v>321</v>
      </c>
      <c r="T133" s="52" t="str">
        <f t="shared" si="45"/>
        <v>Waste Management [Non-core Function] - Recycling</v>
      </c>
      <c r="U133" s="10">
        <f t="shared" si="46"/>
        <v>150</v>
      </c>
    </row>
    <row r="134" spans="16:21" x14ac:dyDescent="0.25">
      <c r="P134" s="11" t="s">
        <v>232</v>
      </c>
      <c r="Q134" s="10">
        <f t="shared" si="44"/>
        <v>14</v>
      </c>
      <c r="R134" s="13" t="s">
        <v>187</v>
      </c>
      <c r="S134" s="11" t="s">
        <v>322</v>
      </c>
      <c r="T134" s="52" t="str">
        <f t="shared" si="45"/>
        <v>Waste Management [Non-core Function] - Solid Waste Disposal (Landfill Sites)</v>
      </c>
      <c r="U134" s="10">
        <f t="shared" si="46"/>
        <v>151</v>
      </c>
    </row>
    <row r="135" spans="16:21" x14ac:dyDescent="0.25">
      <c r="P135" s="11" t="s">
        <v>232</v>
      </c>
      <c r="Q135" s="10">
        <f t="shared" si="44"/>
        <v>14</v>
      </c>
      <c r="R135" s="13" t="s">
        <v>187</v>
      </c>
      <c r="S135" s="11" t="s">
        <v>323</v>
      </c>
      <c r="T135" s="52" t="str">
        <f t="shared" si="45"/>
        <v>Waste Management [Non-core Function] - Solid Waste Removal</v>
      </c>
      <c r="U135" s="10">
        <f t="shared" si="46"/>
        <v>152</v>
      </c>
    </row>
    <row r="136" spans="16:21" x14ac:dyDescent="0.25">
      <c r="P136" s="11" t="s">
        <v>232</v>
      </c>
      <c r="Q136" s="10">
        <f t="shared" si="44"/>
        <v>14</v>
      </c>
      <c r="R136" s="13" t="s">
        <v>187</v>
      </c>
      <c r="S136" s="11" t="s">
        <v>324</v>
      </c>
      <c r="T136" s="52" t="str">
        <f t="shared" si="45"/>
        <v>Waste Management [Non-core Function] - Street Cleaning</v>
      </c>
      <c r="U136" s="10">
        <f t="shared" si="46"/>
        <v>153</v>
      </c>
    </row>
    <row r="137" spans="16:21" x14ac:dyDescent="0.25">
      <c r="P137" s="11" t="s">
        <v>233</v>
      </c>
      <c r="Q137" s="10">
        <f t="shared" si="44"/>
        <v>15</v>
      </c>
      <c r="R137" s="13" t="s">
        <v>185</v>
      </c>
      <c r="S137" s="11" t="s">
        <v>325</v>
      </c>
      <c r="T137" s="52" t="str">
        <f t="shared" si="45"/>
        <v>Waste Water Management [Core function]  - Public Toilets</v>
      </c>
      <c r="U137" s="10">
        <f t="shared" si="46"/>
        <v>154</v>
      </c>
    </row>
    <row r="138" spans="16:21" x14ac:dyDescent="0.25">
      <c r="P138" s="11" t="s">
        <v>233</v>
      </c>
      <c r="Q138" s="10">
        <f t="shared" si="44"/>
        <v>15</v>
      </c>
      <c r="R138" s="13" t="s">
        <v>185</v>
      </c>
      <c r="S138" s="11" t="s">
        <v>326</v>
      </c>
      <c r="T138" s="52" t="str">
        <f t="shared" si="45"/>
        <v>Waste Water Management [Core function]  - Sewerage</v>
      </c>
      <c r="U138" s="10">
        <f t="shared" si="46"/>
        <v>155</v>
      </c>
    </row>
    <row r="139" spans="16:21" x14ac:dyDescent="0.25">
      <c r="P139" s="11" t="s">
        <v>233</v>
      </c>
      <c r="Q139" s="10">
        <f t="shared" si="44"/>
        <v>15</v>
      </c>
      <c r="R139" s="13" t="s">
        <v>185</v>
      </c>
      <c r="S139" s="11" t="s">
        <v>327</v>
      </c>
      <c r="T139" s="52" t="str">
        <f t="shared" si="45"/>
        <v>Waste Water Management [Core function]  - Storm Water Management</v>
      </c>
      <c r="U139" s="10">
        <f t="shared" si="46"/>
        <v>156</v>
      </c>
    </row>
    <row r="140" spans="16:21" x14ac:dyDescent="0.25">
      <c r="P140" s="11" t="s">
        <v>233</v>
      </c>
      <c r="Q140" s="10">
        <f t="shared" si="44"/>
        <v>15</v>
      </c>
      <c r="R140" s="13" t="s">
        <v>185</v>
      </c>
      <c r="S140" s="11" t="s">
        <v>328</v>
      </c>
      <c r="T140" s="52" t="str">
        <f t="shared" si="45"/>
        <v>Waste Water Management [Core function]  - Waste Water Treatment</v>
      </c>
      <c r="U140" s="10">
        <f t="shared" si="46"/>
        <v>157</v>
      </c>
    </row>
    <row r="141" spans="16:21" x14ac:dyDescent="0.25">
      <c r="P141" s="11" t="s">
        <v>233</v>
      </c>
      <c r="Q141" s="10">
        <f t="shared" ref="Q141:Q151" si="47">VLOOKUP(P141,M:N,2,FALSE)</f>
        <v>15</v>
      </c>
      <c r="R141" s="13" t="s">
        <v>187</v>
      </c>
      <c r="S141" s="11" t="s">
        <v>325</v>
      </c>
      <c r="T141" s="52" t="str">
        <f t="shared" si="45"/>
        <v>Waste Water Management [Non-core Function] - Public Toilets</v>
      </c>
      <c r="U141" s="10">
        <f t="shared" si="46"/>
        <v>158</v>
      </c>
    </row>
    <row r="142" spans="16:21" x14ac:dyDescent="0.25">
      <c r="P142" s="11" t="s">
        <v>233</v>
      </c>
      <c r="Q142" s="10">
        <f t="shared" si="47"/>
        <v>15</v>
      </c>
      <c r="R142" s="13" t="s">
        <v>187</v>
      </c>
      <c r="S142" s="11" t="s">
        <v>326</v>
      </c>
      <c r="T142" s="52" t="str">
        <f t="shared" si="45"/>
        <v>Waste Water Management [Non-core Function] - Sewerage</v>
      </c>
      <c r="U142" s="10">
        <f t="shared" si="46"/>
        <v>159</v>
      </c>
    </row>
    <row r="143" spans="16:21" x14ac:dyDescent="0.25">
      <c r="P143" s="11" t="s">
        <v>233</v>
      </c>
      <c r="Q143" s="10">
        <f t="shared" si="47"/>
        <v>15</v>
      </c>
      <c r="R143" s="13" t="s">
        <v>187</v>
      </c>
      <c r="S143" s="11" t="s">
        <v>327</v>
      </c>
      <c r="T143" s="52" t="str">
        <f t="shared" si="45"/>
        <v>Waste Water Management [Non-core Function] - Storm Water Management</v>
      </c>
      <c r="U143" s="10">
        <f t="shared" si="46"/>
        <v>160</v>
      </c>
    </row>
    <row r="144" spans="16:21" x14ac:dyDescent="0.25">
      <c r="P144" s="11" t="s">
        <v>233</v>
      </c>
      <c r="Q144" s="10">
        <f t="shared" si="47"/>
        <v>15</v>
      </c>
      <c r="R144" s="13" t="s">
        <v>187</v>
      </c>
      <c r="S144" s="11" t="s">
        <v>328</v>
      </c>
      <c r="T144" s="52" t="str">
        <f t="shared" si="45"/>
        <v>Waste Water Management [Non-core Function] - Waste Water Treatment</v>
      </c>
      <c r="U144" s="10">
        <f t="shared" si="46"/>
        <v>161</v>
      </c>
    </row>
    <row r="145" spans="16:21" x14ac:dyDescent="0.25">
      <c r="P145" s="11" t="s">
        <v>234</v>
      </c>
      <c r="Q145" s="10">
        <f t="shared" si="47"/>
        <v>16</v>
      </c>
      <c r="R145" s="13" t="s">
        <v>185</v>
      </c>
      <c r="S145" s="11" t="s">
        <v>329</v>
      </c>
      <c r="T145" s="52" t="str">
        <f t="shared" si="45"/>
        <v>Water Management [Core function]  - Water Treatment</v>
      </c>
      <c r="U145" s="10">
        <f t="shared" si="46"/>
        <v>162</v>
      </c>
    </row>
    <row r="146" spans="16:21" x14ac:dyDescent="0.25">
      <c r="P146" s="11" t="s">
        <v>234</v>
      </c>
      <c r="Q146" s="10">
        <f t="shared" si="47"/>
        <v>16</v>
      </c>
      <c r="R146" s="13" t="s">
        <v>185</v>
      </c>
      <c r="S146" s="11" t="s">
        <v>330</v>
      </c>
      <c r="T146" s="52" t="str">
        <f t="shared" si="45"/>
        <v>Water Management [Core function]  - Water Distribution</v>
      </c>
      <c r="U146" s="10">
        <f t="shared" si="46"/>
        <v>163</v>
      </c>
    </row>
    <row r="147" spans="16:21" x14ac:dyDescent="0.25">
      <c r="P147" s="11" t="s">
        <v>234</v>
      </c>
      <c r="Q147" s="10">
        <f t="shared" si="47"/>
        <v>16</v>
      </c>
      <c r="R147" s="13" t="s">
        <v>185</v>
      </c>
      <c r="S147" s="11" t="s">
        <v>331</v>
      </c>
      <c r="T147" s="52" t="str">
        <f t="shared" si="45"/>
        <v>Water Management [Core function]  - Water Storage</v>
      </c>
      <c r="U147" s="10">
        <f t="shared" si="46"/>
        <v>164</v>
      </c>
    </row>
    <row r="148" spans="16:21" x14ac:dyDescent="0.25">
      <c r="P148" s="11" t="s">
        <v>234</v>
      </c>
      <c r="Q148" s="10">
        <f t="shared" si="47"/>
        <v>16</v>
      </c>
      <c r="R148" s="13" t="s">
        <v>187</v>
      </c>
      <c r="S148" s="11" t="s">
        <v>329</v>
      </c>
      <c r="T148" s="52" t="str">
        <f t="shared" si="45"/>
        <v>Water Management [Non-core Function] - Water Treatment</v>
      </c>
      <c r="U148" s="10">
        <f t="shared" si="46"/>
        <v>165</v>
      </c>
    </row>
    <row r="149" spans="16:21" x14ac:dyDescent="0.25">
      <c r="P149" s="11" t="s">
        <v>234</v>
      </c>
      <c r="Q149" s="10">
        <f t="shared" si="47"/>
        <v>16</v>
      </c>
      <c r="R149" s="13" t="s">
        <v>187</v>
      </c>
      <c r="S149" s="11" t="s">
        <v>330</v>
      </c>
      <c r="T149" s="52" t="str">
        <f t="shared" si="45"/>
        <v>Water Management [Non-core Function] - Water Distribution</v>
      </c>
      <c r="U149" s="10">
        <f t="shared" si="46"/>
        <v>166</v>
      </c>
    </row>
    <row r="150" spans="16:21" x14ac:dyDescent="0.25">
      <c r="P150" s="11" t="s">
        <v>234</v>
      </c>
      <c r="Q150" s="10">
        <f t="shared" si="47"/>
        <v>16</v>
      </c>
      <c r="R150" s="13" t="s">
        <v>187</v>
      </c>
      <c r="S150" s="11" t="s">
        <v>331</v>
      </c>
      <c r="T150" s="52" t="str">
        <f t="shared" si="45"/>
        <v>Water Management [Non-core Function] - Water Storage</v>
      </c>
      <c r="U150" s="10">
        <f t="shared" si="46"/>
        <v>167</v>
      </c>
    </row>
    <row r="151" spans="16:21" x14ac:dyDescent="0.25">
      <c r="P151" s="11" t="s">
        <v>169</v>
      </c>
      <c r="Q151" s="10">
        <f t="shared" si="47"/>
        <v>17</v>
      </c>
      <c r="R151" s="13" t="s">
        <v>187</v>
      </c>
      <c r="S151" s="11" t="s">
        <v>169</v>
      </c>
      <c r="T151" s="53" t="str">
        <f t="shared" si="45"/>
        <v>Unspecified [Non-core Function] - Unspecified</v>
      </c>
      <c r="U151" s="10">
        <f t="shared" si="46"/>
        <v>168</v>
      </c>
    </row>
  </sheetData>
  <sortState ref="AH111:AH144">
    <sortCondition ref="AH111"/>
  </sortState>
  <customSheetViews>
    <customSheetView guid="{9B5DD690-7A96-4FFD-9A82-5184EBE7D9A3}">
      <pane ySplit="2" topLeftCell="A3" activePane="bottomLeft" state="frozen"/>
      <selection pane="bottomLeft" activeCell="C3" sqref="C3"/>
      <pageMargins left="0.7" right="0.7" top="0.75" bottom="0.75" header="0.3" footer="0.3"/>
      <pageSetup paperSize="9" orientation="portrait" verticalDpi="0" r:id="rId1"/>
    </customSheetView>
  </customSheetViews>
  <mergeCells count="1">
    <mergeCell ref="A1:C1"/>
  </mergeCells>
  <conditionalFormatting sqref="G3:G52">
    <cfRule type="containsErrors" dxfId="721" priority="18">
      <formula>ISERROR(G3)</formula>
    </cfRule>
  </conditionalFormatting>
  <conditionalFormatting sqref="F3:F52">
    <cfRule type="expression" dxfId="720" priority="15">
      <formula>IF(LEN(H3)&gt;0,IF(LEN(F3)=0,TRUE,FALSE),FALSE)</formula>
    </cfRule>
  </conditionalFormatting>
  <conditionalFormatting sqref="I3:I52">
    <cfRule type="expression" dxfId="719" priority="13">
      <formula>IF(LEN(H3)&gt;0,IF(LEN(I3)&lt;&gt;1,TRUE,FALSE),FALSE)</formula>
    </cfRule>
  </conditionalFormatting>
  <conditionalFormatting sqref="X4">
    <cfRule type="expression" dxfId="718" priority="12">
      <formula>IF(LEN(W4)&gt;0,IF(LEN(X4)=0,TRUE,FALSE),FALSE)</formula>
    </cfRule>
  </conditionalFormatting>
  <conditionalFormatting sqref="X5:X51">
    <cfRule type="expression" dxfId="717" priority="11">
      <formula>IF(LEN(W5)&gt;0,IF(LEN(X5)=0,TRUE,FALSE),FALSE)</formula>
    </cfRule>
  </conditionalFormatting>
  <conditionalFormatting sqref="X52">
    <cfRule type="expression" dxfId="716" priority="10">
      <formula>IF(LEN(W52)&gt;0,IF(LEN(X52)=0,TRUE,FALSE),FALSE)</formula>
    </cfRule>
  </conditionalFormatting>
  <conditionalFormatting sqref="AN3:AN52">
    <cfRule type="duplicateValues" dxfId="715" priority="9"/>
  </conditionalFormatting>
  <conditionalFormatting sqref="AH1:AH1048576">
    <cfRule type="duplicateValues" dxfId="714" priority="8"/>
  </conditionalFormatting>
  <conditionalFormatting sqref="W1:W1048576">
    <cfRule type="duplicateValues" dxfId="713" priority="7"/>
  </conditionalFormatting>
  <conditionalFormatting sqref="AS4:AS42">
    <cfRule type="duplicateValues" dxfId="712" priority="6"/>
  </conditionalFormatting>
  <conditionalFormatting sqref="BE3">
    <cfRule type="expression" dxfId="711" priority="4">
      <formula>IF(LEN(BD3)&gt;0,IF(LEN(BE3)=0,TRUE,FALSE),FALSE)</formula>
    </cfRule>
  </conditionalFormatting>
  <conditionalFormatting sqref="BE4:BE22">
    <cfRule type="expression" dxfId="710" priority="3">
      <formula>IF(LEN(BD4)&gt;0,IF(LEN(BE4)=0,TRUE,FALSE),FALSE)</formula>
    </cfRule>
  </conditionalFormatting>
  <conditionalFormatting sqref="BD3:BD22">
    <cfRule type="duplicateValues" dxfId="709" priority="2"/>
  </conditionalFormatting>
  <dataValidations count="5">
    <dataValidation type="list" allowBlank="1" showInputMessage="1" showErrorMessage="1" sqref="AO4:AO52">
      <formula1>$W$3:$W$52</formula1>
    </dataValidation>
    <dataValidation type="list" allowBlank="1" showInputMessage="1" showErrorMessage="1" sqref="AP4:AP52">
      <formula1>$AA$3:$AA$7</formula1>
    </dataValidation>
    <dataValidation type="list" allowBlank="1" showInputMessage="1" showErrorMessage="1" sqref="F3:F52">
      <formula1>$A$3:$A$26</formula1>
    </dataValidation>
    <dataValidation type="list" allowBlank="1" showInputMessage="1" showErrorMessage="1" sqref="I3:I52">
      <formula1>"Y,N"</formula1>
    </dataValidation>
    <dataValidation type="list" allowBlank="1" showInputMessage="1" showErrorMessage="1" sqref="P3:P150">
      <formula1>function</formula1>
    </dataValidation>
  </dataValidation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N39"/>
  <sheetViews>
    <sheetView topLeftCell="Q1" zoomScaleNormal="100" workbookViewId="0">
      <pane ySplit="2" topLeftCell="A28" activePane="bottomLeft" state="frozen"/>
      <selection pane="bottomLeft" activeCell="AS34" sqref="AS34"/>
    </sheetView>
  </sheetViews>
  <sheetFormatPr defaultColWidth="9.140625" defaultRowHeight="15" x14ac:dyDescent="0.25"/>
  <cols>
    <col min="1" max="1" width="6.140625" style="92" bestFit="1" customWidth="1"/>
    <col min="2" max="2" width="8.140625" style="66" hidden="1" customWidth="1"/>
    <col min="3" max="3" width="28.85546875" style="225" customWidth="1"/>
    <col min="4" max="5" width="15.28515625" style="66" hidden="1" customWidth="1"/>
    <col min="6" max="6" width="9" style="66" hidden="1" customWidth="1"/>
    <col min="7" max="7" width="27.42578125" style="226" customWidth="1"/>
    <col min="8" max="8" width="5.5703125" style="66" hidden="1" customWidth="1"/>
    <col min="9" max="9" width="27.28515625" style="69" customWidth="1"/>
    <col min="10" max="10" width="8.42578125" style="66" hidden="1" customWidth="1"/>
    <col min="11" max="11" width="24" style="227" customWidth="1"/>
    <col min="12" max="12" width="7.42578125" style="228" hidden="1" customWidth="1"/>
    <col min="13" max="13" width="32.28515625" style="66" hidden="1" customWidth="1"/>
    <col min="14" max="14" width="7.42578125" style="228" hidden="1" customWidth="1"/>
    <col min="15" max="15" width="32.28515625" style="66" customWidth="1"/>
    <col min="16" max="16" width="7.42578125" style="70" hidden="1" customWidth="1"/>
    <col min="17" max="17" width="21.5703125" style="229" customWidth="1"/>
    <col min="18" max="18" width="9.5703125" style="73" hidden="1" customWidth="1"/>
    <col min="19" max="19" width="29.140625" style="64" hidden="1" customWidth="1"/>
    <col min="20" max="20" width="40.5703125" style="77" customWidth="1"/>
    <col min="21" max="21" width="32.140625" style="77" customWidth="1"/>
    <col min="22" max="22" width="48.5703125" style="66" hidden="1" customWidth="1"/>
    <col min="23" max="23" width="6.140625" style="66" hidden="1" customWidth="1"/>
    <col min="24" max="24" width="45.7109375" style="66" hidden="1" customWidth="1"/>
    <col min="25" max="26" width="18" style="66" hidden="1" customWidth="1"/>
    <col min="27" max="27" width="22.42578125" style="229" customWidth="1"/>
    <col min="28" max="28" width="28.28515625" style="82" customWidth="1"/>
    <col min="29" max="29" width="28.28515625" style="68" customWidth="1"/>
    <col min="30" max="35" width="28.28515625" style="68" hidden="1" customWidth="1"/>
    <col min="36" max="36" width="9.5703125" style="80" hidden="1" customWidth="1"/>
    <col min="37" max="37" width="19.140625" style="216" hidden="1" customWidth="1"/>
    <col min="38" max="38" width="9.5703125" style="80" hidden="1" customWidth="1"/>
    <col min="39" max="39" width="10.140625" style="230" bestFit="1" customWidth="1"/>
    <col min="40" max="40" width="13.42578125" style="231" bestFit="1" customWidth="1"/>
    <col min="41" max="41" width="14.140625" style="82" hidden="1" customWidth="1"/>
    <col min="42" max="42" width="2.28515625" style="66" customWidth="1"/>
    <col min="43" max="46" width="11.140625" style="82" customWidth="1"/>
    <col min="47" max="47" width="10" style="66" hidden="1" customWidth="1"/>
    <col min="48" max="52" width="11.7109375" style="68" hidden="1" customWidth="1"/>
    <col min="53" max="66" width="9.140625" style="66" hidden="1" customWidth="1"/>
    <col min="67" max="74" width="0" style="66" hidden="1" customWidth="1"/>
    <col min="75" max="16384" width="9.140625" style="66"/>
  </cols>
  <sheetData>
    <row r="1" spans="1:61" s="84" customFormat="1" ht="28.15" customHeight="1" x14ac:dyDescent="0.25">
      <c r="A1" s="84" t="s">
        <v>0</v>
      </c>
      <c r="B1" s="419" t="str">
        <f>top_dirid</f>
        <v>Directorate [R]</v>
      </c>
      <c r="C1" s="419"/>
      <c r="D1" s="84" t="str">
        <f>top_repkpi</f>
        <v>Reporting KPI [R]</v>
      </c>
      <c r="E1" s="84" t="str">
        <f>top_idpref</f>
        <v>IDP Ref</v>
      </c>
      <c r="F1" s="420" t="str">
        <f>top_gfsid</f>
        <v>Function [R]</v>
      </c>
      <c r="G1" s="420"/>
      <c r="H1" s="417" t="str">
        <f>top_natoutcomeid</f>
        <v>National Outcome [R]</v>
      </c>
      <c r="I1" s="417"/>
      <c r="J1" s="421" t="str">
        <f>top_natkpaid</f>
        <v>National KPA [R]</v>
      </c>
      <c r="K1" s="421"/>
      <c r="L1" s="424" t="str">
        <f>top_pdoid</f>
        <v>Pre-determined Objectives [R]</v>
      </c>
      <c r="M1" s="424"/>
      <c r="N1" s="420" t="str">
        <f>top_ndpid</f>
        <v>NDP Objective [R]</v>
      </c>
      <c r="O1" s="420"/>
      <c r="P1" s="419" t="str">
        <f>top_idpid</f>
        <v>IDP Objective [R]</v>
      </c>
      <c r="Q1" s="419"/>
      <c r="R1" s="422" t="str">
        <f>top_munkpa</f>
        <v>Municipal KPA [R]</v>
      </c>
      <c r="S1" s="422"/>
      <c r="T1" s="84" t="str">
        <f>top_value</f>
        <v>KPI Name [R]</v>
      </c>
      <c r="U1" s="84" t="str">
        <f>top_unit</f>
        <v>Unit of Measurement</v>
      </c>
      <c r="V1" s="84" t="str">
        <f>top_risk</f>
        <v>Risk</v>
      </c>
      <c r="W1" s="422" t="str">
        <f>top_psoid</f>
        <v>Provincial Strategic Objectives [R]</v>
      </c>
      <c r="X1" s="422"/>
      <c r="Y1" s="186" t="str">
        <f>top_ward</f>
        <v>Ward [R]</v>
      </c>
      <c r="Z1" s="90" t="str">
        <f>top_area</f>
        <v>Area [R]</v>
      </c>
      <c r="AA1" s="187" t="str">
        <f>top_ownerid</f>
        <v>KPI Owner [R]</v>
      </c>
      <c r="AB1" s="85" t="str">
        <f>top_baseline</f>
        <v>Baseline</v>
      </c>
      <c r="AC1" s="85" t="str">
        <f>top_poe</f>
        <v>POE</v>
      </c>
      <c r="AD1" s="85" t="str">
        <f>top_pyp</f>
        <v>Past Year Performance</v>
      </c>
      <c r="AE1" s="85" t="str">
        <f>top_mtas</f>
        <v>MTAS Indicator</v>
      </c>
      <c r="AF1" s="85" t="str">
        <f>top_new1</f>
        <v>New Text 1</v>
      </c>
      <c r="AG1" s="85" t="str">
        <f>top_new2</f>
        <v>New Text 2</v>
      </c>
      <c r="AH1" s="85" t="str">
        <f>top_new3</f>
        <v>New Text 3</v>
      </c>
      <c r="AI1" s="87" t="str">
        <f>top_repcate</f>
        <v>Reporting Category [R]</v>
      </c>
      <c r="AJ1" s="423" t="str">
        <f>top_calctype</f>
        <v>KPI Calculation Type [R]</v>
      </c>
      <c r="AK1" s="423"/>
      <c r="AL1" s="418" t="str">
        <f>top_targettype</f>
        <v>Target Type [R]</v>
      </c>
      <c r="AM1" s="418"/>
      <c r="AN1" s="85" t="str">
        <f>top_annual</f>
        <v>Annual Target</v>
      </c>
      <c r="AO1" s="85" t="str">
        <f>top_revised</f>
        <v>Revised Target</v>
      </c>
      <c r="AQ1" s="188" t="s">
        <v>22</v>
      </c>
      <c r="AR1" s="188" t="s">
        <v>23</v>
      </c>
      <c r="AS1" s="188" t="s">
        <v>24</v>
      </c>
      <c r="AT1" s="188" t="s">
        <v>25</v>
      </c>
      <c r="AV1" s="85" t="str">
        <f>start_year&amp;"/"&amp;end_year</f>
        <v>2018/2019</v>
      </c>
      <c r="AW1" s="85" t="str">
        <f>start_year+1&amp;"/"&amp;end_year+1</f>
        <v>2019/2020</v>
      </c>
      <c r="AX1" s="85" t="str">
        <f>start_year+2&amp;"/"&amp;end_year+2</f>
        <v>2020/2021</v>
      </c>
      <c r="AY1" s="85" t="str">
        <f>start_year+3&amp;"/"&amp;end_year+3</f>
        <v>2021/2022</v>
      </c>
      <c r="AZ1" s="85" t="str">
        <f>start_year+4&amp;"/"&amp;end_year+4</f>
        <v>2022/2023</v>
      </c>
      <c r="BB1" s="416" t="s">
        <v>333</v>
      </c>
      <c r="BC1" s="416"/>
      <c r="BD1" s="416"/>
      <c r="BE1" s="416"/>
      <c r="BF1" s="416"/>
      <c r="BG1" s="416"/>
      <c r="BH1" s="416"/>
      <c r="BI1" s="416"/>
    </row>
    <row r="2" spans="1:61" s="97" customFormat="1" ht="15" hidden="1" customHeight="1" x14ac:dyDescent="0.25">
      <c r="A2" s="189" t="e">
        <f>COUNTBLANK(#REF!)</f>
        <v>#REF!</v>
      </c>
      <c r="B2" s="97" t="s">
        <v>179</v>
      </c>
      <c r="C2" s="190" t="s">
        <v>94</v>
      </c>
      <c r="D2" s="93" t="s">
        <v>127</v>
      </c>
      <c r="E2" s="93" t="s">
        <v>103</v>
      </c>
      <c r="F2" s="191" t="s">
        <v>179</v>
      </c>
      <c r="G2" s="192" t="s">
        <v>94</v>
      </c>
      <c r="H2" s="97" t="s">
        <v>179</v>
      </c>
      <c r="I2" s="100" t="s">
        <v>94</v>
      </c>
      <c r="J2" s="93" t="s">
        <v>179</v>
      </c>
      <c r="K2" s="193" t="s">
        <v>94</v>
      </c>
      <c r="L2" s="194" t="s">
        <v>179</v>
      </c>
      <c r="M2" s="195" t="s">
        <v>94</v>
      </c>
      <c r="N2" s="194" t="s">
        <v>179</v>
      </c>
      <c r="O2" s="196" t="s">
        <v>94</v>
      </c>
      <c r="P2" s="194" t="s">
        <v>179</v>
      </c>
      <c r="Q2" s="197" t="s">
        <v>94</v>
      </c>
      <c r="R2" s="198" t="s">
        <v>179</v>
      </c>
      <c r="S2" s="199" t="s">
        <v>94</v>
      </c>
      <c r="T2" s="108" t="s">
        <v>168</v>
      </c>
      <c r="U2" s="108" t="s">
        <v>168</v>
      </c>
      <c r="V2" s="93" t="s">
        <v>168</v>
      </c>
      <c r="W2" s="93" t="s">
        <v>179</v>
      </c>
      <c r="X2" s="93" t="s">
        <v>94</v>
      </c>
      <c r="Y2" s="200" t="s">
        <v>108</v>
      </c>
      <c r="Z2" s="201" t="s">
        <v>183</v>
      </c>
      <c r="AA2" s="197" t="s">
        <v>94</v>
      </c>
      <c r="AB2" s="99" t="s">
        <v>106</v>
      </c>
      <c r="AC2" s="99" t="s">
        <v>106</v>
      </c>
      <c r="AD2" s="99" t="s">
        <v>106</v>
      </c>
      <c r="AE2" s="99" t="s">
        <v>168</v>
      </c>
      <c r="AF2" s="99" t="s">
        <v>168</v>
      </c>
      <c r="AG2" s="99" t="s">
        <v>168</v>
      </c>
      <c r="AH2" s="99" t="s">
        <v>168</v>
      </c>
      <c r="AI2" s="114" t="s">
        <v>182</v>
      </c>
      <c r="AJ2" s="93" t="s">
        <v>179</v>
      </c>
      <c r="AK2" s="202" t="s">
        <v>94</v>
      </c>
      <c r="AL2" s="93" t="s">
        <v>179</v>
      </c>
      <c r="AM2" s="192" t="s">
        <v>94</v>
      </c>
      <c r="AN2" s="109" t="s">
        <v>83</v>
      </c>
      <c r="AO2" s="99" t="s">
        <v>83</v>
      </c>
      <c r="AP2" s="93"/>
      <c r="AQ2" s="99" t="s">
        <v>83</v>
      </c>
      <c r="AR2" s="99" t="s">
        <v>83</v>
      </c>
      <c r="AS2" s="99" t="s">
        <v>83</v>
      </c>
      <c r="AT2" s="99" t="s">
        <v>83</v>
      </c>
      <c r="AV2" s="99" t="s">
        <v>83</v>
      </c>
      <c r="AW2" s="99" t="s">
        <v>83</v>
      </c>
      <c r="AX2" s="99" t="s">
        <v>83</v>
      </c>
      <c r="AY2" s="99" t="s">
        <v>83</v>
      </c>
      <c r="AZ2" s="99" t="s">
        <v>83</v>
      </c>
      <c r="BB2" s="118" t="s">
        <v>74</v>
      </c>
      <c r="BC2" s="118" t="s">
        <v>75</v>
      </c>
      <c r="BD2" s="118" t="s">
        <v>76</v>
      </c>
      <c r="BE2" s="118" t="s">
        <v>77</v>
      </c>
      <c r="BF2" s="118" t="s">
        <v>16</v>
      </c>
      <c r="BG2" s="118" t="s">
        <v>134</v>
      </c>
      <c r="BH2" s="118" t="s">
        <v>191</v>
      </c>
      <c r="BI2" s="118" t="s">
        <v>193</v>
      </c>
    </row>
    <row r="3" spans="1:61" ht="60" x14ac:dyDescent="0.25">
      <c r="A3" s="92">
        <v>1</v>
      </c>
      <c r="B3" s="66">
        <f>IF(LEN(C3)&gt;0,VLOOKUP(C3,'1. Lists'!A:B,2,FALSE),"")</f>
        <v>2</v>
      </c>
      <c r="C3" s="203" t="s">
        <v>359</v>
      </c>
      <c r="D3" s="204" t="s">
        <v>660</v>
      </c>
      <c r="E3" s="204"/>
      <c r="F3" s="66">
        <f>IF(LEN(G3)&gt;0,VLOOKUP(G3,'1. Lists'!$T:$U,2,FALSE),"")</f>
        <v>112</v>
      </c>
      <c r="G3" s="205" t="s">
        <v>432</v>
      </c>
      <c r="H3" s="66">
        <f>IF(LEN(I3)&gt;0,VLOOKUP(I3,'1. Lists'!$AK:$AL,2,FALSE),"")</f>
        <v>4</v>
      </c>
      <c r="I3" s="124" t="s">
        <v>154</v>
      </c>
      <c r="J3" s="66">
        <f>IF(LEN(K3)&gt;0,VLOOKUP(K3,'1. Lists'!AA:AC,3,FALSE),"")</f>
        <v>3</v>
      </c>
      <c r="K3" s="206" t="s">
        <v>40</v>
      </c>
      <c r="L3" s="66">
        <f>IF(LEN(M3)&gt;0,VLOOKUP(M3,'1. Lists'!AH:AI,2,FALSE),"")</f>
        <v>26</v>
      </c>
      <c r="M3" s="207" t="s">
        <v>411</v>
      </c>
      <c r="N3" s="66">
        <f>IF(LEN(O3)&gt;0,VLOOKUP(O3,'1. Lists'!AE:AF,2,FALSE),"")</f>
        <v>3</v>
      </c>
      <c r="O3" s="208" t="s">
        <v>347</v>
      </c>
      <c r="P3" s="70">
        <f>IF(LEN(Q3)&gt;0,VLOOKUP(Q3,'1. Lists'!AS:AT,2,FALSE),"")</f>
        <v>4</v>
      </c>
      <c r="Q3" s="209" t="s">
        <v>384</v>
      </c>
      <c r="R3" s="73">
        <f>IF(LEN(S3)&gt;0,VLOOKUP(S3,'1. Lists'!W:Y,3,FALSE),"")</f>
        <v>1</v>
      </c>
      <c r="S3" s="121" t="s">
        <v>169</v>
      </c>
      <c r="T3" s="210" t="s">
        <v>662</v>
      </c>
      <c r="U3" s="210" t="s">
        <v>668</v>
      </c>
      <c r="V3" s="204"/>
      <c r="W3" s="66">
        <f>IF(LEN(X3)&gt;0,VLOOKUP(X3,'1. Lists'!$BD$3:$BF$50,3,FALSE),"")</f>
        <v>1</v>
      </c>
      <c r="X3" s="127" t="s">
        <v>336</v>
      </c>
      <c r="Y3" s="204" t="s">
        <v>68</v>
      </c>
      <c r="Z3" s="204">
        <v>1</v>
      </c>
      <c r="AA3" s="209" t="s">
        <v>367</v>
      </c>
      <c r="AB3" s="141">
        <v>48</v>
      </c>
      <c r="AC3" s="123" t="s">
        <v>453</v>
      </c>
      <c r="AD3" s="123"/>
      <c r="AE3" s="123"/>
      <c r="AF3" s="123"/>
      <c r="AG3" s="123"/>
      <c r="AH3" s="123"/>
      <c r="AI3" s="135" t="s">
        <v>460</v>
      </c>
      <c r="AJ3" s="80" t="str">
        <f>IF(LEN(AK3)&gt;0,VLOOKUP(AK3,'1. Lists'!$BQ:$BR,2,FALSE),"")</f>
        <v>ACC</v>
      </c>
      <c r="AK3" s="211" t="s">
        <v>14</v>
      </c>
      <c r="AL3" s="80">
        <f>IF(LEN(AM3)&gt;0,VLOOKUP(AM3,'1. Lists'!$BU$3:$BW$8,3,FALSE),"")</f>
        <v>3</v>
      </c>
      <c r="AM3" s="212" t="s">
        <v>83</v>
      </c>
      <c r="AN3" s="139">
        <v>30</v>
      </c>
      <c r="AO3" s="140">
        <f t="shared" ref="AO3:AO39" si="0">IF(AN3&gt;0,AN3,"")</f>
        <v>30</v>
      </c>
      <c r="AQ3" s="141">
        <v>0</v>
      </c>
      <c r="AR3" s="141">
        <v>0</v>
      </c>
      <c r="AS3" s="141">
        <v>0</v>
      </c>
      <c r="AT3" s="141">
        <v>30</v>
      </c>
      <c r="AV3" s="123"/>
      <c r="AW3" s="123"/>
      <c r="AX3" s="123"/>
      <c r="AY3" s="123"/>
      <c r="AZ3" s="123"/>
      <c r="BB3" s="213">
        <f t="shared" ref="BB3:BB38" si="1">MAX(AQ3:AT3)</f>
        <v>30</v>
      </c>
      <c r="BC3" s="213">
        <f t="shared" ref="BC3:BC38" si="2">SUM(AQ3:AT3)</f>
        <v>30</v>
      </c>
      <c r="BD3" s="213">
        <f t="shared" ref="BD3:BD38" si="3">IF(SUM(AQ3:AT3)&gt;0,SUM(AQ3:AT3)/COUNTIF(AQ3:AT3,"&gt;0"),0)</f>
        <v>30</v>
      </c>
      <c r="BE3" s="213">
        <v>0</v>
      </c>
      <c r="BF3" s="213"/>
      <c r="BG3" s="213">
        <f t="shared" ref="BG3:BG38" si="4">IF(SUM(AQ3:AT3)&gt;0,SUM(AQ3:AT3)/COUNTIF(AQ3:AT3,"&gt;0"),0)</f>
        <v>30</v>
      </c>
      <c r="BH3" s="213">
        <f t="shared" ref="BH3:BH38" si="5">IF(AT3&gt;0,AT3,IF(AS3&gt;0,AS3,IF(AR3&gt;0,AR3,AQ3)))</f>
        <v>30</v>
      </c>
      <c r="BI3" s="213">
        <f t="shared" ref="BI3:BI38" si="6">IF(AT3&gt;0,AT3,IF(AS3&gt;0,AS3,IF(AR3&gt;0,AR3,AQ3)))</f>
        <v>30</v>
      </c>
    </row>
    <row r="4" spans="1:61" ht="75" x14ac:dyDescent="0.25">
      <c r="A4" s="92">
        <f>A3+1</f>
        <v>2</v>
      </c>
      <c r="B4" s="66">
        <f>IF(LEN(C4)&gt;0,VLOOKUP(C4,'1. Lists'!A:B,2,FALSE),"")</f>
        <v>2</v>
      </c>
      <c r="C4" s="214" t="s">
        <v>359</v>
      </c>
      <c r="D4" s="204" t="s">
        <v>661</v>
      </c>
      <c r="E4" s="204"/>
      <c r="F4" s="66">
        <f>IF(LEN(G4)&gt;0,VLOOKUP(G4,'1. Lists'!$T:$U,2,FALSE),"")</f>
        <v>87</v>
      </c>
      <c r="G4" s="208" t="s">
        <v>434</v>
      </c>
      <c r="H4" s="66">
        <f>IF(LEN(I4)&gt;0,VLOOKUP(I4,'1. Lists'!$AK:$AL,2,FALSE),"")</f>
        <v>10</v>
      </c>
      <c r="I4" s="124" t="s">
        <v>160</v>
      </c>
      <c r="J4" s="66">
        <f>IF(LEN(K4)&gt;0,VLOOKUP(K4,'1. Lists'!AA:AC,3,FALSE),"")</f>
        <v>2</v>
      </c>
      <c r="K4" s="215" t="s">
        <v>39</v>
      </c>
      <c r="L4" s="216">
        <f>IF(LEN(M4)&gt;0,VLOOKUP(M4,'1. Lists'!AH:AI,2,FALSE),"")</f>
        <v>17</v>
      </c>
      <c r="M4" s="207" t="s">
        <v>402</v>
      </c>
      <c r="N4" s="66">
        <f>IF(LEN(O4)&gt;0,VLOOKUP(O4,'1. Lists'!AE:AF,2,FALSE),"")</f>
        <v>3</v>
      </c>
      <c r="O4" s="208" t="s">
        <v>347</v>
      </c>
      <c r="P4" s="70">
        <f>IF(LEN(Q4)&gt;0,VLOOKUP(Q4,'1. Lists'!AS:AT,2,FALSE),"")</f>
        <v>6</v>
      </c>
      <c r="Q4" s="217" t="s">
        <v>386</v>
      </c>
      <c r="R4" s="73">
        <f>IF(LEN(S4)&gt;0,VLOOKUP(S4,'1. Lists'!W:Y,3,FALSE),"")</f>
        <v>1</v>
      </c>
      <c r="S4" s="121" t="s">
        <v>169</v>
      </c>
      <c r="T4" s="210" t="s">
        <v>671</v>
      </c>
      <c r="U4" s="210" t="s">
        <v>444</v>
      </c>
      <c r="V4" s="204"/>
      <c r="W4" s="66">
        <f>IF(LEN(X4)&gt;0,VLOOKUP(X4,'1. Lists'!$BD$3:$BF$50,3,FALSE),"")</f>
        <v>3</v>
      </c>
      <c r="X4" s="127" t="s">
        <v>338</v>
      </c>
      <c r="Y4" s="204" t="s">
        <v>68</v>
      </c>
      <c r="Z4" s="204">
        <v>1</v>
      </c>
      <c r="AA4" s="209" t="s">
        <v>367</v>
      </c>
      <c r="AB4" s="141">
        <v>769</v>
      </c>
      <c r="AC4" s="123" t="s">
        <v>454</v>
      </c>
      <c r="AD4" s="123"/>
      <c r="AE4" s="123"/>
      <c r="AF4" s="123"/>
      <c r="AG4" s="123"/>
      <c r="AH4" s="123"/>
      <c r="AI4" s="135" t="s">
        <v>460</v>
      </c>
      <c r="AJ4" s="80" t="str">
        <f>IF(LEN(AK4)&gt;0,VLOOKUP(AK4,'1. Lists'!$BQ:$BR,2,FALSE),"")</f>
        <v>ACC</v>
      </c>
      <c r="AK4" s="211" t="s">
        <v>14</v>
      </c>
      <c r="AL4" s="80">
        <f>IF(LEN(AM4)&gt;0,VLOOKUP(AM4,'1. Lists'!$BU$3:$BW$8,3,FALSE),"")</f>
        <v>3</v>
      </c>
      <c r="AM4" s="212" t="s">
        <v>83</v>
      </c>
      <c r="AN4" s="139">
        <v>900</v>
      </c>
      <c r="AO4" s="82">
        <f t="shared" si="0"/>
        <v>900</v>
      </c>
      <c r="AQ4" s="141">
        <v>225</v>
      </c>
      <c r="AR4" s="141">
        <v>225</v>
      </c>
      <c r="AS4" s="141">
        <v>225</v>
      </c>
      <c r="AT4" s="141">
        <v>225</v>
      </c>
      <c r="AV4" s="123"/>
      <c r="AW4" s="123"/>
      <c r="AX4" s="123"/>
      <c r="AY4" s="123"/>
      <c r="AZ4" s="123"/>
      <c r="BB4" s="213">
        <f t="shared" si="1"/>
        <v>225</v>
      </c>
      <c r="BC4" s="213">
        <f t="shared" si="2"/>
        <v>900</v>
      </c>
      <c r="BD4" s="213">
        <f t="shared" si="3"/>
        <v>225</v>
      </c>
      <c r="BE4" s="213">
        <v>0</v>
      </c>
      <c r="BF4" s="213"/>
      <c r="BG4" s="213">
        <f t="shared" si="4"/>
        <v>225</v>
      </c>
      <c r="BH4" s="213">
        <f t="shared" si="5"/>
        <v>225</v>
      </c>
      <c r="BI4" s="213">
        <f t="shared" si="6"/>
        <v>225</v>
      </c>
    </row>
    <row r="5" spans="1:61" ht="75" x14ac:dyDescent="0.25">
      <c r="A5" s="92">
        <f t="shared" ref="A5:A39" si="7">A4+1</f>
        <v>3</v>
      </c>
      <c r="B5" s="66">
        <f>IF(LEN(C5)&gt;0,VLOOKUP(C5,'1. Lists'!A:B,2,FALSE),"")</f>
        <v>2</v>
      </c>
      <c r="C5" s="214" t="s">
        <v>359</v>
      </c>
      <c r="D5" s="204" t="s">
        <v>661</v>
      </c>
      <c r="E5" s="204"/>
      <c r="F5" s="66">
        <f>IF(LEN(G5)&gt;0,VLOOKUP(G5,'1. Lists'!$T:$U,2,FALSE),"")</f>
        <v>57</v>
      </c>
      <c r="G5" s="208" t="s">
        <v>433</v>
      </c>
      <c r="H5" s="66">
        <f>IF(LEN(I5)&gt;0,VLOOKUP(I5,'1. Lists'!$AK:$AL,2,FALSE),"")</f>
        <v>10</v>
      </c>
      <c r="I5" s="124" t="s">
        <v>160</v>
      </c>
      <c r="J5" s="66">
        <f>IF(LEN(K5)&gt;0,VLOOKUP(K5,'1. Lists'!AA:AC,3,FALSE),"")</f>
        <v>2</v>
      </c>
      <c r="K5" s="215" t="s">
        <v>39</v>
      </c>
      <c r="L5" s="216">
        <f>IF(LEN(M5)&gt;0,VLOOKUP(M5,'1. Lists'!AH:AI,2,FALSE),"")</f>
        <v>17</v>
      </c>
      <c r="M5" s="207" t="s">
        <v>402</v>
      </c>
      <c r="N5" s="66">
        <f>IF(LEN(O5)&gt;0,VLOOKUP(O5,'1. Lists'!AE:AF,2,FALSE),"")</f>
        <v>3</v>
      </c>
      <c r="O5" s="208" t="s">
        <v>347</v>
      </c>
      <c r="P5" s="70">
        <f>IF(LEN(Q5)&gt;0,VLOOKUP(Q5,'1. Lists'!AS:AT,2,FALSE),"")</f>
        <v>6</v>
      </c>
      <c r="Q5" s="217" t="s">
        <v>386</v>
      </c>
      <c r="R5" s="73">
        <f>IF(LEN(S5)&gt;0,VLOOKUP(S5,'1. Lists'!W:Y,3,FALSE),"")</f>
        <v>1</v>
      </c>
      <c r="S5" s="121" t="s">
        <v>169</v>
      </c>
      <c r="T5" s="210" t="s">
        <v>672</v>
      </c>
      <c r="U5" s="210" t="s">
        <v>673</v>
      </c>
      <c r="V5" s="204"/>
      <c r="W5" s="66">
        <f>IF(LEN(X5)&gt;0,VLOOKUP(X5,'1. Lists'!$BD$3:$BF$50,3,FALSE),"")</f>
        <v>4</v>
      </c>
      <c r="X5" s="127" t="s">
        <v>339</v>
      </c>
      <c r="Y5" s="204" t="s">
        <v>68</v>
      </c>
      <c r="Z5" s="204">
        <v>1</v>
      </c>
      <c r="AA5" s="209" t="s">
        <v>367</v>
      </c>
      <c r="AB5" s="141" t="s">
        <v>674</v>
      </c>
      <c r="AC5" s="123" t="s">
        <v>455</v>
      </c>
      <c r="AD5" s="123"/>
      <c r="AE5" s="123"/>
      <c r="AF5" s="123"/>
      <c r="AG5" s="123"/>
      <c r="AH5" s="123"/>
      <c r="AI5" s="135" t="s">
        <v>460</v>
      </c>
      <c r="AJ5" s="80" t="str">
        <f>IF(LEN(AK5)&gt;0,VLOOKUP(AK5,'1. Lists'!$BQ:$BR,2,FALSE),"")</f>
        <v>CO</v>
      </c>
      <c r="AK5" s="211" t="s">
        <v>12</v>
      </c>
      <c r="AL5" s="80">
        <f>IF(LEN(AM5)&gt;0,VLOOKUP(AM5,'1. Lists'!$BU$3:$BW$8,3,FALSE),"")</f>
        <v>3</v>
      </c>
      <c r="AM5" s="212" t="s">
        <v>83</v>
      </c>
      <c r="AN5" s="139">
        <v>1</v>
      </c>
      <c r="AO5" s="82">
        <f t="shared" si="0"/>
        <v>1</v>
      </c>
      <c r="AQ5" s="141">
        <v>0</v>
      </c>
      <c r="AR5" s="141">
        <v>0</v>
      </c>
      <c r="AS5" s="141">
        <v>0</v>
      </c>
      <c r="AT5" s="141">
        <v>1</v>
      </c>
      <c r="AV5" s="123"/>
      <c r="AW5" s="123"/>
      <c r="AX5" s="123"/>
      <c r="AY5" s="123"/>
      <c r="AZ5" s="123"/>
      <c r="BB5" s="213">
        <f t="shared" si="1"/>
        <v>1</v>
      </c>
      <c r="BC5" s="213">
        <f t="shared" si="2"/>
        <v>1</v>
      </c>
      <c r="BD5" s="213">
        <f t="shared" si="3"/>
        <v>1</v>
      </c>
      <c r="BE5" s="213">
        <v>0</v>
      </c>
      <c r="BF5" s="213"/>
      <c r="BG5" s="213">
        <f t="shared" si="4"/>
        <v>1</v>
      </c>
      <c r="BH5" s="213">
        <f t="shared" si="5"/>
        <v>1</v>
      </c>
      <c r="BI5" s="213">
        <f t="shared" si="6"/>
        <v>1</v>
      </c>
    </row>
    <row r="6" spans="1:61" ht="75" x14ac:dyDescent="0.25">
      <c r="A6" s="92">
        <f t="shared" si="7"/>
        <v>4</v>
      </c>
      <c r="B6" s="66">
        <f>IF(LEN(C6)&gt;0,VLOOKUP(C6,'1. Lists'!A:B,2,FALSE),"")</f>
        <v>2</v>
      </c>
      <c r="C6" s="214" t="s">
        <v>359</v>
      </c>
      <c r="D6" s="204" t="s">
        <v>661</v>
      </c>
      <c r="E6" s="204"/>
      <c r="F6" s="66">
        <f>IF(LEN(G6)&gt;0,VLOOKUP(G6,'1. Lists'!$T:$U,2,FALSE),"")</f>
        <v>57</v>
      </c>
      <c r="G6" s="208" t="s">
        <v>433</v>
      </c>
      <c r="H6" s="66">
        <f>IF(LEN(I6)&gt;0,VLOOKUP(I6,'1. Lists'!$AK:$AL,2,FALSE),"")</f>
        <v>10</v>
      </c>
      <c r="I6" s="124" t="s">
        <v>160</v>
      </c>
      <c r="J6" s="66">
        <f>IF(LEN(K6)&gt;0,VLOOKUP(K6,'1. Lists'!AA:AC,3,FALSE),"")</f>
        <v>2</v>
      </c>
      <c r="K6" s="215" t="s">
        <v>39</v>
      </c>
      <c r="L6" s="216">
        <f>IF(LEN(M6)&gt;0,VLOOKUP(M6,'1. Lists'!AH:AI,2,FALSE),"")</f>
        <v>17</v>
      </c>
      <c r="M6" s="207" t="s">
        <v>402</v>
      </c>
      <c r="N6" s="66">
        <f>IF(LEN(O6)&gt;0,VLOOKUP(O6,'1. Lists'!AE:AF,2,FALSE),"")</f>
        <v>3</v>
      </c>
      <c r="O6" s="208" t="s">
        <v>347</v>
      </c>
      <c r="P6" s="70">
        <f>IF(LEN(Q6)&gt;0,VLOOKUP(Q6,'1. Lists'!AS:AT,2,FALSE),"")</f>
        <v>6</v>
      </c>
      <c r="Q6" s="217" t="s">
        <v>386</v>
      </c>
      <c r="R6" s="73">
        <f>IF(LEN(S6)&gt;0,VLOOKUP(S6,'1. Lists'!W:Y,3,FALSE),"")</f>
        <v>1</v>
      </c>
      <c r="S6" s="121" t="s">
        <v>169</v>
      </c>
      <c r="T6" s="210" t="s">
        <v>675</v>
      </c>
      <c r="U6" s="210" t="s">
        <v>673</v>
      </c>
      <c r="V6" s="204"/>
      <c r="W6" s="66">
        <f>IF(LEN(X6)&gt;0,VLOOKUP(X6,'1. Lists'!$BD$3:$BF$50,3,FALSE),"")</f>
        <v>4</v>
      </c>
      <c r="X6" s="127" t="s">
        <v>339</v>
      </c>
      <c r="Y6" s="204" t="s">
        <v>68</v>
      </c>
      <c r="Z6" s="204">
        <v>1</v>
      </c>
      <c r="AA6" s="209" t="s">
        <v>367</v>
      </c>
      <c r="AB6" s="141" t="s">
        <v>676</v>
      </c>
      <c r="AC6" s="123" t="s">
        <v>455</v>
      </c>
      <c r="AD6" s="123"/>
      <c r="AE6" s="123"/>
      <c r="AF6" s="123"/>
      <c r="AG6" s="123"/>
      <c r="AH6" s="123"/>
      <c r="AI6" s="135" t="s">
        <v>460</v>
      </c>
      <c r="AJ6" s="80" t="str">
        <f>IF(LEN(AK6)&gt;0,VLOOKUP(AK6,'1. Lists'!$BQ:$BR,2,FALSE),"")</f>
        <v>CO</v>
      </c>
      <c r="AK6" s="211" t="s">
        <v>12</v>
      </c>
      <c r="AL6" s="80">
        <f>IF(LEN(AM6)&gt;0,VLOOKUP(AM6,'1. Lists'!$BU$3:$BW$8,3,FALSE),"")</f>
        <v>3</v>
      </c>
      <c r="AM6" s="212" t="s">
        <v>83</v>
      </c>
      <c r="AN6" s="139">
        <v>1</v>
      </c>
      <c r="AO6" s="82">
        <f t="shared" si="0"/>
        <v>1</v>
      </c>
      <c r="AQ6" s="141">
        <v>0</v>
      </c>
      <c r="AR6" s="141">
        <v>0</v>
      </c>
      <c r="AS6" s="141">
        <v>0</v>
      </c>
      <c r="AT6" s="141">
        <v>1</v>
      </c>
      <c r="AV6" s="123"/>
      <c r="AW6" s="123"/>
      <c r="AX6" s="123"/>
      <c r="AY6" s="123"/>
      <c r="AZ6" s="123"/>
      <c r="BB6" s="213">
        <f t="shared" si="1"/>
        <v>1</v>
      </c>
      <c r="BC6" s="213">
        <f t="shared" si="2"/>
        <v>1</v>
      </c>
      <c r="BD6" s="213">
        <f t="shared" si="3"/>
        <v>1</v>
      </c>
      <c r="BE6" s="213">
        <v>0</v>
      </c>
      <c r="BF6" s="213"/>
      <c r="BG6" s="213">
        <f t="shared" si="4"/>
        <v>1</v>
      </c>
      <c r="BH6" s="213">
        <f t="shared" si="5"/>
        <v>1</v>
      </c>
      <c r="BI6" s="213">
        <f t="shared" si="6"/>
        <v>1</v>
      </c>
    </row>
    <row r="7" spans="1:61" ht="75" x14ac:dyDescent="0.25">
      <c r="A7" s="92">
        <f t="shared" si="7"/>
        <v>5</v>
      </c>
      <c r="B7" s="66">
        <f>IF(LEN(C7)&gt;0,VLOOKUP(C7,'1. Lists'!A:B,2,FALSE),"")</f>
        <v>2</v>
      </c>
      <c r="C7" s="214" t="s">
        <v>359</v>
      </c>
      <c r="D7" s="204" t="s">
        <v>661</v>
      </c>
      <c r="E7" s="204"/>
      <c r="F7" s="66">
        <f>IF(LEN(G7)&gt;0,VLOOKUP(G7,'1. Lists'!$T:$U,2,FALSE),"")</f>
        <v>57</v>
      </c>
      <c r="G7" s="208" t="s">
        <v>433</v>
      </c>
      <c r="H7" s="66">
        <f>IF(LEN(I7)&gt;0,VLOOKUP(I7,'1. Lists'!$AK:$AL,2,FALSE),"")</f>
        <v>10</v>
      </c>
      <c r="I7" s="124" t="s">
        <v>160</v>
      </c>
      <c r="J7" s="66">
        <f>IF(LEN(K7)&gt;0,VLOOKUP(K7,'1. Lists'!AA:AC,3,FALSE),"")</f>
        <v>2</v>
      </c>
      <c r="K7" s="215" t="s">
        <v>39</v>
      </c>
      <c r="L7" s="216">
        <f>IF(LEN(M7)&gt;0,VLOOKUP(M7,'1. Lists'!AH:AI,2,FALSE),"")</f>
        <v>17</v>
      </c>
      <c r="M7" s="207" t="s">
        <v>402</v>
      </c>
      <c r="N7" s="66">
        <f>IF(LEN(O7)&gt;0,VLOOKUP(O7,'1. Lists'!AE:AF,2,FALSE),"")</f>
        <v>3</v>
      </c>
      <c r="O7" s="208" t="s">
        <v>347</v>
      </c>
      <c r="P7" s="70">
        <f>IF(LEN(Q7)&gt;0,VLOOKUP(Q7,'1. Lists'!AS:AT,2,FALSE),"")</f>
        <v>6</v>
      </c>
      <c r="Q7" s="217" t="s">
        <v>386</v>
      </c>
      <c r="R7" s="73">
        <f>IF(LEN(S7)&gt;0,VLOOKUP(S7,'1. Lists'!W:Y,3,FALSE),"")</f>
        <v>1</v>
      </c>
      <c r="S7" s="121" t="s">
        <v>169</v>
      </c>
      <c r="T7" s="210" t="s">
        <v>663</v>
      </c>
      <c r="U7" s="210" t="s">
        <v>669</v>
      </c>
      <c r="V7" s="204"/>
      <c r="W7" s="66">
        <f>IF(LEN(X7)&gt;0,VLOOKUP(X7,'1. Lists'!$BD$3:$BF$50,3,FALSE),"")</f>
        <v>4</v>
      </c>
      <c r="X7" s="127" t="s">
        <v>339</v>
      </c>
      <c r="Y7" s="204" t="s">
        <v>68</v>
      </c>
      <c r="Z7" s="204">
        <v>1</v>
      </c>
      <c r="AA7" s="209" t="s">
        <v>367</v>
      </c>
      <c r="AB7" s="141" t="s">
        <v>452</v>
      </c>
      <c r="AC7" s="123" t="s">
        <v>455</v>
      </c>
      <c r="AD7" s="123"/>
      <c r="AE7" s="123"/>
      <c r="AF7" s="123"/>
      <c r="AG7" s="123"/>
      <c r="AH7" s="123"/>
      <c r="AI7" s="135" t="s">
        <v>460</v>
      </c>
      <c r="AJ7" s="80" t="str">
        <f>IF(LEN(AK7)&gt;0,VLOOKUP(AK7,'1. Lists'!$BQ:$BR,2,FALSE),"")</f>
        <v>CO</v>
      </c>
      <c r="AK7" s="211" t="s">
        <v>12</v>
      </c>
      <c r="AL7" s="80">
        <f>IF(LEN(AM7)&gt;0,VLOOKUP(AM7,'1. Lists'!$BU$3:$BW$8,3,FALSE),"")</f>
        <v>3</v>
      </c>
      <c r="AM7" s="212" t="s">
        <v>83</v>
      </c>
      <c r="AN7" s="139">
        <v>1</v>
      </c>
      <c r="AO7" s="82">
        <f t="shared" si="0"/>
        <v>1</v>
      </c>
      <c r="AQ7" s="141">
        <v>0</v>
      </c>
      <c r="AR7" s="141">
        <v>0</v>
      </c>
      <c r="AS7" s="141">
        <v>0</v>
      </c>
      <c r="AT7" s="141">
        <v>1</v>
      </c>
      <c r="AV7" s="123"/>
      <c r="AW7" s="123"/>
      <c r="AX7" s="123"/>
      <c r="AY7" s="123"/>
      <c r="AZ7" s="123"/>
      <c r="BB7" s="213">
        <f t="shared" si="1"/>
        <v>1</v>
      </c>
      <c r="BC7" s="213">
        <f t="shared" si="2"/>
        <v>1</v>
      </c>
      <c r="BD7" s="213">
        <f t="shared" si="3"/>
        <v>1</v>
      </c>
      <c r="BE7" s="213">
        <v>0</v>
      </c>
      <c r="BF7" s="213"/>
      <c r="BG7" s="213">
        <f t="shared" si="4"/>
        <v>1</v>
      </c>
      <c r="BH7" s="213">
        <f t="shared" si="5"/>
        <v>1</v>
      </c>
      <c r="BI7" s="213">
        <f t="shared" si="6"/>
        <v>1</v>
      </c>
    </row>
    <row r="8" spans="1:61" ht="75" x14ac:dyDescent="0.25">
      <c r="A8" s="92">
        <f t="shared" si="7"/>
        <v>6</v>
      </c>
      <c r="B8" s="66">
        <f>IF(LEN(C8)&gt;0,VLOOKUP(C8,'1. Lists'!A:B,2,FALSE),"")</f>
        <v>2</v>
      </c>
      <c r="C8" s="214" t="s">
        <v>359</v>
      </c>
      <c r="D8" s="204" t="s">
        <v>661</v>
      </c>
      <c r="E8" s="204"/>
      <c r="F8" s="66">
        <f>IF(LEN(G8)&gt;0,VLOOKUP(G8,'1. Lists'!$T:$U,2,FALSE),"")</f>
        <v>87</v>
      </c>
      <c r="G8" s="208" t="s">
        <v>434</v>
      </c>
      <c r="H8" s="66">
        <f>IF(LEN(I8)&gt;0,VLOOKUP(I8,'1. Lists'!$AK:$AL,2,FALSE),"")</f>
        <v>10</v>
      </c>
      <c r="I8" s="124" t="s">
        <v>160</v>
      </c>
      <c r="J8" s="66">
        <f>IF(LEN(K8)&gt;0,VLOOKUP(K8,'1. Lists'!AA:AC,3,FALSE),"")</f>
        <v>2</v>
      </c>
      <c r="K8" s="215" t="s">
        <v>39</v>
      </c>
      <c r="L8" s="216">
        <f>IF(LEN(M8)&gt;0,VLOOKUP(M8,'1. Lists'!AH:AI,2,FALSE),"")</f>
        <v>17</v>
      </c>
      <c r="M8" s="207" t="s">
        <v>402</v>
      </c>
      <c r="N8" s="66">
        <f>IF(LEN(O8)&gt;0,VLOOKUP(O8,'1. Lists'!AE:AF,2,FALSE),"")</f>
        <v>3</v>
      </c>
      <c r="O8" s="208" t="s">
        <v>347</v>
      </c>
      <c r="P8" s="70">
        <f>IF(LEN(Q8)&gt;0,VLOOKUP(Q8,'1. Lists'!AS:AT,2,FALSE),"")</f>
        <v>6</v>
      </c>
      <c r="Q8" s="217" t="s">
        <v>386</v>
      </c>
      <c r="R8" s="73">
        <f>IF(LEN(S8)&gt;0,VLOOKUP(S8,'1. Lists'!W:Y,3,FALSE),"")</f>
        <v>1</v>
      </c>
      <c r="S8" s="121" t="s">
        <v>169</v>
      </c>
      <c r="T8" s="210" t="s">
        <v>677</v>
      </c>
      <c r="U8" s="210" t="s">
        <v>444</v>
      </c>
      <c r="V8" s="204"/>
      <c r="W8" s="66">
        <f>IF(LEN(X8)&gt;0,VLOOKUP(X8,'1. Lists'!$BD$3:$BF$50,3,FALSE),"")</f>
        <v>3</v>
      </c>
      <c r="X8" s="127" t="s">
        <v>338</v>
      </c>
      <c r="Y8" s="204" t="s">
        <v>68</v>
      </c>
      <c r="Z8" s="204">
        <v>1</v>
      </c>
      <c r="AA8" s="209" t="s">
        <v>367</v>
      </c>
      <c r="AB8" s="141">
        <v>898</v>
      </c>
      <c r="AC8" s="123" t="s">
        <v>454</v>
      </c>
      <c r="AD8" s="123"/>
      <c r="AE8" s="123"/>
      <c r="AF8" s="123"/>
      <c r="AG8" s="123"/>
      <c r="AH8" s="123"/>
      <c r="AI8" s="135" t="s">
        <v>460</v>
      </c>
      <c r="AJ8" s="80" t="str">
        <f>IF(LEN(AK8)&gt;0,VLOOKUP(AK8,'1. Lists'!$BQ:$BR,2,FALSE),"")</f>
        <v>ACC</v>
      </c>
      <c r="AK8" s="211" t="s">
        <v>14</v>
      </c>
      <c r="AL8" s="80">
        <f>IF(LEN(AM8)&gt;0,VLOOKUP(AM8,'1. Lists'!$BU$3:$BW$8,3,FALSE),"")</f>
        <v>3</v>
      </c>
      <c r="AM8" s="212" t="s">
        <v>83</v>
      </c>
      <c r="AN8" s="218">
        <v>900</v>
      </c>
      <c r="AO8" s="82">
        <f t="shared" si="0"/>
        <v>900</v>
      </c>
      <c r="AQ8" s="141">
        <v>225</v>
      </c>
      <c r="AR8" s="141">
        <v>225</v>
      </c>
      <c r="AS8" s="141">
        <v>225</v>
      </c>
      <c r="AT8" s="141">
        <v>225</v>
      </c>
      <c r="AV8" s="123"/>
      <c r="AW8" s="123"/>
      <c r="AX8" s="123"/>
      <c r="AY8" s="123"/>
      <c r="AZ8" s="123"/>
      <c r="BB8" s="213">
        <f t="shared" si="1"/>
        <v>225</v>
      </c>
      <c r="BC8" s="213">
        <f t="shared" si="2"/>
        <v>900</v>
      </c>
      <c r="BD8" s="213">
        <f t="shared" si="3"/>
        <v>225</v>
      </c>
      <c r="BE8" s="213">
        <v>0</v>
      </c>
      <c r="BF8" s="213"/>
      <c r="BG8" s="213">
        <f t="shared" si="4"/>
        <v>225</v>
      </c>
      <c r="BH8" s="213">
        <f t="shared" si="5"/>
        <v>225</v>
      </c>
      <c r="BI8" s="213">
        <f t="shared" si="6"/>
        <v>225</v>
      </c>
    </row>
    <row r="9" spans="1:61" ht="75" x14ac:dyDescent="0.25">
      <c r="A9" s="92">
        <f t="shared" si="7"/>
        <v>7</v>
      </c>
      <c r="B9" s="66">
        <f>IF(LEN(C9)&gt;0,VLOOKUP(C9,'1. Lists'!A:B,2,FALSE),"")</f>
        <v>2</v>
      </c>
      <c r="C9" s="214" t="s">
        <v>359</v>
      </c>
      <c r="D9" s="204" t="s">
        <v>661</v>
      </c>
      <c r="E9" s="204"/>
      <c r="F9" s="66">
        <f>IF(LEN(G9)&gt;0,VLOOKUP(G9,'1. Lists'!$T:$U,2,FALSE),"")</f>
        <v>87</v>
      </c>
      <c r="G9" s="208" t="s">
        <v>434</v>
      </c>
      <c r="H9" s="66">
        <f>IF(LEN(I9)&gt;0,VLOOKUP(I9,'1. Lists'!$AK:$AL,2,FALSE),"")</f>
        <v>10</v>
      </c>
      <c r="I9" s="124" t="s">
        <v>160</v>
      </c>
      <c r="J9" s="66">
        <f>IF(LEN(K9)&gt;0,VLOOKUP(K9,'1. Lists'!AA:AC,3,FALSE),"")</f>
        <v>2</v>
      </c>
      <c r="K9" s="215" t="s">
        <v>39</v>
      </c>
      <c r="L9" s="216">
        <f>IF(LEN(M9)&gt;0,VLOOKUP(M9,'1. Lists'!AH:AI,2,FALSE),"")</f>
        <v>17</v>
      </c>
      <c r="M9" s="207" t="s">
        <v>402</v>
      </c>
      <c r="N9" s="66">
        <f>IF(LEN(O9)&gt;0,VLOOKUP(O9,'1. Lists'!AE:AF,2,FALSE),"")</f>
        <v>3</v>
      </c>
      <c r="O9" s="208" t="s">
        <v>347</v>
      </c>
      <c r="P9" s="70">
        <f>IF(LEN(Q9)&gt;0,VLOOKUP(Q9,'1. Lists'!AS:AT,2,FALSE),"")</f>
        <v>6</v>
      </c>
      <c r="Q9" s="217" t="s">
        <v>386</v>
      </c>
      <c r="R9" s="73">
        <f>IF(LEN(S9)&gt;0,VLOOKUP(S9,'1. Lists'!W:Y,3,FALSE),"")</f>
        <v>1</v>
      </c>
      <c r="S9" s="121" t="s">
        <v>169</v>
      </c>
      <c r="T9" s="210" t="s">
        <v>678</v>
      </c>
      <c r="U9" s="210" t="s">
        <v>444</v>
      </c>
      <c r="V9" s="204"/>
      <c r="W9" s="66">
        <f>IF(LEN(X9)&gt;0,VLOOKUP(X9,'1. Lists'!$BD$3:$BF$50,3,FALSE),"")</f>
        <v>3</v>
      </c>
      <c r="X9" s="127" t="s">
        <v>338</v>
      </c>
      <c r="Y9" s="204" t="s">
        <v>68</v>
      </c>
      <c r="Z9" s="204">
        <v>1</v>
      </c>
      <c r="AA9" s="209" t="s">
        <v>367</v>
      </c>
      <c r="AB9" s="141">
        <v>235</v>
      </c>
      <c r="AC9" s="123" t="s">
        <v>454</v>
      </c>
      <c r="AD9" s="123"/>
      <c r="AE9" s="123"/>
      <c r="AF9" s="123"/>
      <c r="AG9" s="123"/>
      <c r="AH9" s="123"/>
      <c r="AI9" s="135" t="s">
        <v>460</v>
      </c>
      <c r="AJ9" s="80" t="str">
        <f>IF(LEN(AK9)&gt;0,VLOOKUP(AK9,'1. Lists'!$BQ:$BR,2,FALSE),"")</f>
        <v>ACC</v>
      </c>
      <c r="AK9" s="211" t="s">
        <v>14</v>
      </c>
      <c r="AL9" s="80">
        <f>IF(LEN(AM9)&gt;0,VLOOKUP(AM9,'1. Lists'!$BU$3:$BW$8,3,FALSE),"")</f>
        <v>3</v>
      </c>
      <c r="AM9" s="212" t="s">
        <v>83</v>
      </c>
      <c r="AN9" s="139">
        <v>250</v>
      </c>
      <c r="AO9" s="82">
        <f t="shared" si="0"/>
        <v>250</v>
      </c>
      <c r="AQ9" s="141">
        <v>75</v>
      </c>
      <c r="AR9" s="141">
        <v>50</v>
      </c>
      <c r="AS9" s="141">
        <v>50</v>
      </c>
      <c r="AT9" s="141">
        <v>75</v>
      </c>
      <c r="AV9" s="123"/>
      <c r="AW9" s="123"/>
      <c r="AX9" s="123"/>
      <c r="AY9" s="123"/>
      <c r="AZ9" s="123"/>
      <c r="BB9" s="213">
        <f t="shared" si="1"/>
        <v>75</v>
      </c>
      <c r="BC9" s="213">
        <f t="shared" si="2"/>
        <v>250</v>
      </c>
      <c r="BD9" s="213">
        <f t="shared" si="3"/>
        <v>62.5</v>
      </c>
      <c r="BE9" s="213">
        <v>0</v>
      </c>
      <c r="BF9" s="213"/>
      <c r="BG9" s="213">
        <f t="shared" si="4"/>
        <v>62.5</v>
      </c>
      <c r="BH9" s="213">
        <f t="shared" si="5"/>
        <v>75</v>
      </c>
      <c r="BI9" s="213">
        <f t="shared" si="6"/>
        <v>75</v>
      </c>
    </row>
    <row r="10" spans="1:61" ht="60" x14ac:dyDescent="0.25">
      <c r="A10" s="92">
        <f t="shared" si="7"/>
        <v>8</v>
      </c>
      <c r="B10" s="66">
        <f>IF(LEN(C10)&gt;0,VLOOKUP(C10,'1. Lists'!A:B,2,FALSE),"")</f>
        <v>2</v>
      </c>
      <c r="C10" s="214" t="s">
        <v>359</v>
      </c>
      <c r="D10" s="204" t="s">
        <v>661</v>
      </c>
      <c r="E10" s="204"/>
      <c r="F10" s="66">
        <f>IF(LEN(G10)&gt;0,VLOOKUP(G10,'1. Lists'!$T:$U,2,FALSE),"")</f>
        <v>64</v>
      </c>
      <c r="G10" s="208" t="s">
        <v>435</v>
      </c>
      <c r="H10" s="66">
        <f>IF(LEN(I10)&gt;0,VLOOKUP(I10,'1. Lists'!$AK:$AL,2,FALSE),"")</f>
        <v>9</v>
      </c>
      <c r="I10" s="124" t="s">
        <v>159</v>
      </c>
      <c r="J10" s="66">
        <f>IF(LEN(K10)&gt;0,VLOOKUP(K10,'1. Lists'!AA:AC,3,FALSE),"")</f>
        <v>5</v>
      </c>
      <c r="K10" s="215" t="s">
        <v>42</v>
      </c>
      <c r="L10" s="216">
        <f>IF(LEN(M10)&gt;0,VLOOKUP(M10,'1. Lists'!AH:AI,2,FALSE),"")</f>
        <v>5</v>
      </c>
      <c r="M10" s="207" t="s">
        <v>390</v>
      </c>
      <c r="N10" s="66">
        <f>IF(LEN(O10)&gt;0,VLOOKUP(O10,'1. Lists'!AE:AF,2,FALSE),"")</f>
        <v>11</v>
      </c>
      <c r="O10" s="208" t="s">
        <v>355</v>
      </c>
      <c r="P10" s="70">
        <f>IF(LEN(Q10)&gt;0,VLOOKUP(Q10,'1. Lists'!AS:AT,2,FALSE),"")</f>
        <v>2</v>
      </c>
      <c r="Q10" s="217" t="s">
        <v>382</v>
      </c>
      <c r="R10" s="73">
        <f>IF(LEN(S10)&gt;0,VLOOKUP(S10,'1. Lists'!W:Y,3,FALSE),"")</f>
        <v>1</v>
      </c>
      <c r="S10" s="121" t="s">
        <v>169</v>
      </c>
      <c r="T10" s="210" t="s">
        <v>679</v>
      </c>
      <c r="U10" s="210" t="s">
        <v>670</v>
      </c>
      <c r="V10" s="204"/>
      <c r="W10" s="66">
        <f>IF(LEN(X10)&gt;0,VLOOKUP(X10,'1. Lists'!$BD$3:$BF$50,3,FALSE),"")</f>
        <v>5</v>
      </c>
      <c r="X10" s="127" t="s">
        <v>340</v>
      </c>
      <c r="Y10" s="204" t="s">
        <v>68</v>
      </c>
      <c r="Z10" s="204">
        <v>1</v>
      </c>
      <c r="AA10" s="209" t="s">
        <v>367</v>
      </c>
      <c r="AB10" s="141">
        <v>1</v>
      </c>
      <c r="AC10" s="123" t="s">
        <v>455</v>
      </c>
      <c r="AD10" s="123"/>
      <c r="AE10" s="123"/>
      <c r="AF10" s="123"/>
      <c r="AG10" s="123"/>
      <c r="AH10" s="123"/>
      <c r="AI10" s="135" t="s">
        <v>460</v>
      </c>
      <c r="AJ10" s="80" t="str">
        <f>IF(LEN(AK10)&gt;0,VLOOKUP(AK10,'1. Lists'!$BQ:$BR,2,FALSE),"")</f>
        <v>CO</v>
      </c>
      <c r="AK10" s="211" t="s">
        <v>12</v>
      </c>
      <c r="AL10" s="80">
        <f>IF(LEN(AM10)&gt;0,VLOOKUP(AM10,'1. Lists'!$BU$3:$BW$8,3,FALSE),"")</f>
        <v>3</v>
      </c>
      <c r="AM10" s="212" t="s">
        <v>83</v>
      </c>
      <c r="AN10" s="139">
        <v>1</v>
      </c>
      <c r="AO10" s="82">
        <f t="shared" si="0"/>
        <v>1</v>
      </c>
      <c r="AQ10" s="141">
        <v>0</v>
      </c>
      <c r="AR10" s="141">
        <v>0</v>
      </c>
      <c r="AS10" s="141">
        <v>1</v>
      </c>
      <c r="AT10" s="141">
        <v>0</v>
      </c>
      <c r="AV10" s="123"/>
      <c r="AW10" s="123"/>
      <c r="AX10" s="123"/>
      <c r="AY10" s="123"/>
      <c r="AZ10" s="123"/>
      <c r="BB10" s="213">
        <f t="shared" si="1"/>
        <v>1</v>
      </c>
      <c r="BC10" s="213">
        <f t="shared" si="2"/>
        <v>1</v>
      </c>
      <c r="BD10" s="213">
        <f t="shared" si="3"/>
        <v>1</v>
      </c>
      <c r="BE10" s="213">
        <v>0</v>
      </c>
      <c r="BF10" s="213"/>
      <c r="BG10" s="213">
        <f t="shared" si="4"/>
        <v>1</v>
      </c>
      <c r="BH10" s="213">
        <f t="shared" si="5"/>
        <v>1</v>
      </c>
      <c r="BI10" s="213">
        <f t="shared" si="6"/>
        <v>1</v>
      </c>
    </row>
    <row r="11" spans="1:61" ht="75" x14ac:dyDescent="0.25">
      <c r="A11" s="92">
        <f t="shared" si="7"/>
        <v>9</v>
      </c>
      <c r="B11" s="66">
        <f>IF(LEN(C11)&gt;0,VLOOKUP(C11,'1. Lists'!A:B,2,FALSE),"")</f>
        <v>2</v>
      </c>
      <c r="C11" s="214" t="s">
        <v>359</v>
      </c>
      <c r="D11" s="204" t="s">
        <v>661</v>
      </c>
      <c r="E11" s="204"/>
      <c r="F11" s="66">
        <f>IF(LEN(G11)&gt;0,VLOOKUP(G11,'1. Lists'!$T:$U,2,FALSE),"")</f>
        <v>37</v>
      </c>
      <c r="G11" s="208" t="s">
        <v>430</v>
      </c>
      <c r="H11" s="66">
        <f>IF(LEN(I11)&gt;0,VLOOKUP(I11,'1. Lists'!$AK:$AL,2,FALSE),"")</f>
        <v>10</v>
      </c>
      <c r="I11" s="124" t="s">
        <v>160</v>
      </c>
      <c r="J11" s="66">
        <f>IF(LEN(K11)&gt;0,VLOOKUP(K11,'1. Lists'!AA:AC,3,FALSE),"")</f>
        <v>2</v>
      </c>
      <c r="K11" s="215" t="s">
        <v>39</v>
      </c>
      <c r="L11" s="216">
        <f>IF(LEN(M11)&gt;0,VLOOKUP(M11,'1. Lists'!AH:AI,2,FALSE),"")</f>
        <v>17</v>
      </c>
      <c r="M11" s="207" t="s">
        <v>402</v>
      </c>
      <c r="N11" s="66">
        <f>IF(LEN(O11)&gt;0,VLOOKUP(O11,'1. Lists'!AE:AF,2,FALSE),"")</f>
        <v>3</v>
      </c>
      <c r="O11" s="208" t="s">
        <v>347</v>
      </c>
      <c r="P11" s="70">
        <f>IF(LEN(Q11)&gt;0,VLOOKUP(Q11,'1. Lists'!AS:AT,2,FALSE),"")</f>
        <v>3</v>
      </c>
      <c r="Q11" s="217" t="s">
        <v>383</v>
      </c>
      <c r="R11" s="73">
        <f>IF(LEN(S11)&gt;0,VLOOKUP(S11,'1. Lists'!W:Y,3,FALSE),"")</f>
        <v>1</v>
      </c>
      <c r="S11" s="121" t="s">
        <v>169</v>
      </c>
      <c r="T11" s="210" t="s">
        <v>680</v>
      </c>
      <c r="U11" s="210" t="s">
        <v>445</v>
      </c>
      <c r="V11" s="204"/>
      <c r="W11" s="66">
        <f>IF(LEN(X11)&gt;0,VLOOKUP(X11,'1. Lists'!$BD$3:$BF$50,3,FALSE),"")</f>
        <v>3</v>
      </c>
      <c r="X11" s="127" t="s">
        <v>338</v>
      </c>
      <c r="Y11" s="204" t="s">
        <v>68</v>
      </c>
      <c r="Z11" s="204">
        <v>1</v>
      </c>
      <c r="AA11" s="217" t="s">
        <v>367</v>
      </c>
      <c r="AB11" s="141">
        <v>1</v>
      </c>
      <c r="AC11" s="123" t="s">
        <v>455</v>
      </c>
      <c r="AD11" s="123"/>
      <c r="AE11" s="123"/>
      <c r="AF11" s="123"/>
      <c r="AG11" s="123"/>
      <c r="AH11" s="123"/>
      <c r="AI11" s="135" t="s">
        <v>460</v>
      </c>
      <c r="AJ11" s="80" t="str">
        <f>IF(LEN(AK11)&gt;0,VLOOKUP(AK11,'1. Lists'!$BQ:$BR,2,FALSE),"")</f>
        <v>CO</v>
      </c>
      <c r="AK11" s="211" t="s">
        <v>12</v>
      </c>
      <c r="AL11" s="80">
        <f>IF(LEN(AM11)&gt;0,VLOOKUP(AM11,'1. Lists'!$BU$3:$BW$8,3,FALSE),"")</f>
        <v>3</v>
      </c>
      <c r="AM11" s="212" t="s">
        <v>83</v>
      </c>
      <c r="AN11" s="139">
        <v>1</v>
      </c>
      <c r="AO11" s="82">
        <f t="shared" si="0"/>
        <v>1</v>
      </c>
      <c r="AQ11" s="141">
        <v>0</v>
      </c>
      <c r="AR11" s="141">
        <v>0</v>
      </c>
      <c r="AS11" s="141">
        <v>0</v>
      </c>
      <c r="AT11" s="141">
        <v>1</v>
      </c>
      <c r="AV11" s="123"/>
      <c r="AW11" s="123"/>
      <c r="AX11" s="123"/>
      <c r="AY11" s="123"/>
      <c r="AZ11" s="123"/>
      <c r="BB11" s="213">
        <f t="shared" si="1"/>
        <v>1</v>
      </c>
      <c r="BC11" s="213">
        <f t="shared" si="2"/>
        <v>1</v>
      </c>
      <c r="BD11" s="213">
        <f t="shared" si="3"/>
        <v>1</v>
      </c>
      <c r="BE11" s="213">
        <v>0</v>
      </c>
      <c r="BF11" s="213"/>
      <c r="BG11" s="213">
        <f t="shared" si="4"/>
        <v>1</v>
      </c>
      <c r="BH11" s="213">
        <f t="shared" si="5"/>
        <v>1</v>
      </c>
      <c r="BI11" s="213">
        <f t="shared" si="6"/>
        <v>1</v>
      </c>
    </row>
    <row r="12" spans="1:61" ht="90" x14ac:dyDescent="0.25">
      <c r="A12" s="92">
        <f t="shared" si="7"/>
        <v>10</v>
      </c>
      <c r="B12" s="66">
        <f>IF(LEN(C12)&gt;0,VLOOKUP(C12,'1. Lists'!A:B,2,FALSE),"")</f>
        <v>3</v>
      </c>
      <c r="C12" s="214" t="s">
        <v>360</v>
      </c>
      <c r="D12" s="204" t="s">
        <v>660</v>
      </c>
      <c r="E12" s="204"/>
      <c r="F12" s="66">
        <f>IF(LEN(G12)&gt;0,VLOOKUP(G12,'1. Lists'!$T:$U,2,FALSE),"")</f>
        <v>64</v>
      </c>
      <c r="G12" s="208" t="s">
        <v>435</v>
      </c>
      <c r="H12" s="66">
        <f>IF(LEN(I12)&gt;0,VLOOKUP(I12,'1. Lists'!$AK:$AL,2,FALSE),"")</f>
        <v>9</v>
      </c>
      <c r="I12" s="124" t="s">
        <v>159</v>
      </c>
      <c r="J12" s="66">
        <f>IF(LEN(K12)&gt;0,VLOOKUP(K12,'1. Lists'!AA:AC,3,FALSE),"")</f>
        <v>4</v>
      </c>
      <c r="K12" s="215" t="s">
        <v>41</v>
      </c>
      <c r="L12" s="216">
        <f>IF(LEN(M12)&gt;0,VLOOKUP(M12,'1. Lists'!AH:AI,2,FALSE),"")</f>
        <v>6</v>
      </c>
      <c r="M12" s="207" t="s">
        <v>391</v>
      </c>
      <c r="N12" s="66">
        <f>IF(LEN(O12)&gt;0,VLOOKUP(O12,'1. Lists'!AE:AF,2,FALSE),"")</f>
        <v>2</v>
      </c>
      <c r="O12" s="208" t="s">
        <v>346</v>
      </c>
      <c r="P12" s="70">
        <f>IF(LEN(Q12)&gt;0,VLOOKUP(Q12,'1. Lists'!AS:AT,2,FALSE),"")</f>
        <v>5</v>
      </c>
      <c r="Q12" s="217" t="s">
        <v>385</v>
      </c>
      <c r="R12" s="73">
        <f>IF(LEN(S12)&gt;0,VLOOKUP(S12,'1. Lists'!W:Y,3,FALSE),"")</f>
        <v>1</v>
      </c>
      <c r="S12" s="121" t="s">
        <v>169</v>
      </c>
      <c r="T12" s="210" t="s">
        <v>664</v>
      </c>
      <c r="U12" s="210" t="s">
        <v>446</v>
      </c>
      <c r="V12" s="204"/>
      <c r="W12" s="66">
        <f>IF(LEN(X12)&gt;0,VLOOKUP(X12,'1. Lists'!$BD$3:$BF$50,3,FALSE),"")</f>
        <v>5</v>
      </c>
      <c r="X12" s="127" t="s">
        <v>340</v>
      </c>
      <c r="Y12" s="204" t="s">
        <v>68</v>
      </c>
      <c r="Z12" s="204">
        <v>1</v>
      </c>
      <c r="AA12" s="209" t="s">
        <v>374</v>
      </c>
      <c r="AB12" s="141">
        <v>95</v>
      </c>
      <c r="AC12" s="123" t="s">
        <v>457</v>
      </c>
      <c r="AD12" s="123"/>
      <c r="AE12" s="123"/>
      <c r="AF12" s="123"/>
      <c r="AG12" s="123"/>
      <c r="AH12" s="123"/>
      <c r="AI12" s="135" t="s">
        <v>460</v>
      </c>
      <c r="AJ12" s="80" t="str">
        <f>IF(LEN(AK12)&gt;0,VLOOKUP(AK12,'1. Lists'!$BQ:$BR,2,FALSE),"")</f>
        <v>LAST</v>
      </c>
      <c r="AK12" s="211" t="s">
        <v>190</v>
      </c>
      <c r="AL12" s="80">
        <f>IF(LEN(AM12)&gt;0,VLOOKUP(AM12,'1. Lists'!$BU$3:$BW$8,3,FALSE),"")</f>
        <v>2</v>
      </c>
      <c r="AM12" s="212" t="s">
        <v>82</v>
      </c>
      <c r="AN12" s="218">
        <v>95</v>
      </c>
      <c r="AO12" s="82">
        <f t="shared" si="0"/>
        <v>95</v>
      </c>
      <c r="AQ12" s="219">
        <v>10</v>
      </c>
      <c r="AR12" s="219">
        <v>35</v>
      </c>
      <c r="AS12" s="219">
        <v>60</v>
      </c>
      <c r="AT12" s="219">
        <v>95</v>
      </c>
      <c r="AV12" s="123"/>
      <c r="AW12" s="123"/>
      <c r="AX12" s="123"/>
      <c r="AY12" s="123"/>
      <c r="AZ12" s="123"/>
      <c r="BB12" s="213">
        <f t="shared" si="1"/>
        <v>95</v>
      </c>
      <c r="BC12" s="213">
        <f t="shared" si="2"/>
        <v>200</v>
      </c>
      <c r="BD12" s="213">
        <f t="shared" si="3"/>
        <v>50</v>
      </c>
      <c r="BE12" s="213">
        <v>0</v>
      </c>
      <c r="BF12" s="213"/>
      <c r="BG12" s="213">
        <f t="shared" si="4"/>
        <v>50</v>
      </c>
      <c r="BH12" s="213">
        <f t="shared" si="5"/>
        <v>95</v>
      </c>
      <c r="BI12" s="213">
        <f t="shared" si="6"/>
        <v>95</v>
      </c>
    </row>
    <row r="13" spans="1:61" ht="105" x14ac:dyDescent="0.25">
      <c r="A13" s="92">
        <f t="shared" si="7"/>
        <v>11</v>
      </c>
      <c r="B13" s="66">
        <f>IF(LEN(C13)&gt;0,VLOOKUP(C13,'1. Lists'!A:B,2,FALSE),"")</f>
        <v>3</v>
      </c>
      <c r="C13" s="214" t="s">
        <v>360</v>
      </c>
      <c r="D13" s="204" t="s">
        <v>660</v>
      </c>
      <c r="E13" s="204"/>
      <c r="F13" s="66">
        <f>IF(LEN(G13)&gt;0,VLOOKUP(G13,'1. Lists'!$T:$U,2,FALSE),"")</f>
        <v>67</v>
      </c>
      <c r="G13" s="208" t="s">
        <v>437</v>
      </c>
      <c r="H13" s="66">
        <f>IF(LEN(I13)&gt;0,VLOOKUP(I13,'1. Lists'!$AK:$AL,2,FALSE),"")</f>
        <v>9</v>
      </c>
      <c r="I13" s="124" t="s">
        <v>159</v>
      </c>
      <c r="J13" s="66">
        <f>IF(LEN(K13)&gt;0,VLOOKUP(K13,'1. Lists'!AA:AC,3,FALSE),"")</f>
        <v>4</v>
      </c>
      <c r="K13" s="215" t="s">
        <v>41</v>
      </c>
      <c r="L13" s="216">
        <f>IF(LEN(M13)&gt;0,VLOOKUP(M13,'1. Lists'!AH:AI,2,FALSE),"")</f>
        <v>11</v>
      </c>
      <c r="M13" s="207" t="s">
        <v>396</v>
      </c>
      <c r="N13" s="66">
        <f>IF(LEN(O13)&gt;0,VLOOKUP(O13,'1. Lists'!AE:AF,2,FALSE),"")</f>
        <v>11</v>
      </c>
      <c r="O13" s="208" t="s">
        <v>355</v>
      </c>
      <c r="P13" s="70">
        <f>IF(LEN(Q13)&gt;0,VLOOKUP(Q13,'1. Lists'!AS:AT,2,FALSE),"")</f>
        <v>2</v>
      </c>
      <c r="Q13" s="217" t="s">
        <v>382</v>
      </c>
      <c r="R13" s="73">
        <f>IF(LEN(S13)&gt;0,VLOOKUP(S13,'1. Lists'!W:Y,3,FALSE),"")</f>
        <v>1</v>
      </c>
      <c r="S13" s="121" t="s">
        <v>169</v>
      </c>
      <c r="T13" s="210" t="s">
        <v>665</v>
      </c>
      <c r="U13" s="210" t="s">
        <v>447</v>
      </c>
      <c r="V13" s="204"/>
      <c r="W13" s="66">
        <f>IF(LEN(X13)&gt;0,VLOOKUP(X13,'1. Lists'!$BD$3:$BF$50,3,FALSE),"")</f>
        <v>3</v>
      </c>
      <c r="X13" s="127" t="s">
        <v>338</v>
      </c>
      <c r="Y13" s="204" t="s">
        <v>68</v>
      </c>
      <c r="Z13" s="204">
        <v>1</v>
      </c>
      <c r="AA13" s="209" t="s">
        <v>374</v>
      </c>
      <c r="AB13" s="141">
        <v>45</v>
      </c>
      <c r="AC13" s="123" t="s">
        <v>458</v>
      </c>
      <c r="AD13" s="123"/>
      <c r="AE13" s="123"/>
      <c r="AF13" s="123"/>
      <c r="AG13" s="123"/>
      <c r="AH13" s="123"/>
      <c r="AI13" s="135" t="s">
        <v>460</v>
      </c>
      <c r="AJ13" s="80" t="str">
        <f>IF(LEN(AK13)&gt;0,VLOOKUP(AK13,'1. Lists'!$BQ:$BR,2,FALSE),"")</f>
        <v>LASTREV</v>
      </c>
      <c r="AK13" s="211" t="s">
        <v>192</v>
      </c>
      <c r="AL13" s="80">
        <f>IF(LEN(AM13)&gt;0,VLOOKUP(AM13,'1. Lists'!$BU$3:$BW$8,3,FALSE),"")</f>
        <v>2</v>
      </c>
      <c r="AM13" s="212" t="s">
        <v>82</v>
      </c>
      <c r="AN13" s="218">
        <v>45</v>
      </c>
      <c r="AO13" s="82">
        <f t="shared" si="0"/>
        <v>45</v>
      </c>
      <c r="AQ13" s="141">
        <v>0</v>
      </c>
      <c r="AR13" s="141">
        <v>0</v>
      </c>
      <c r="AS13" s="141">
        <v>0</v>
      </c>
      <c r="AT13" s="219">
        <v>45</v>
      </c>
      <c r="AV13" s="123"/>
      <c r="AW13" s="123"/>
      <c r="AX13" s="123"/>
      <c r="AY13" s="123"/>
      <c r="AZ13" s="123"/>
      <c r="BB13" s="213">
        <f t="shared" si="1"/>
        <v>45</v>
      </c>
      <c r="BC13" s="213">
        <f t="shared" si="2"/>
        <v>45</v>
      </c>
      <c r="BD13" s="213">
        <f t="shared" si="3"/>
        <v>45</v>
      </c>
      <c r="BE13" s="213">
        <v>0</v>
      </c>
      <c r="BF13" s="213"/>
      <c r="BG13" s="213">
        <f t="shared" si="4"/>
        <v>45</v>
      </c>
      <c r="BH13" s="213">
        <f t="shared" si="5"/>
        <v>45</v>
      </c>
      <c r="BI13" s="213">
        <f t="shared" si="6"/>
        <v>45</v>
      </c>
    </row>
    <row r="14" spans="1:61" ht="60" x14ac:dyDescent="0.25">
      <c r="A14" s="92">
        <f t="shared" si="7"/>
        <v>12</v>
      </c>
      <c r="B14" s="66">
        <f>IF(LEN(C14)&gt;0,VLOOKUP(C14,'1. Lists'!A:B,2,FALSE),"")</f>
        <v>3</v>
      </c>
      <c r="C14" s="214" t="s">
        <v>360</v>
      </c>
      <c r="D14" s="204" t="s">
        <v>660</v>
      </c>
      <c r="E14" s="204"/>
      <c r="F14" s="66">
        <f>IF(LEN(G14)&gt;0,VLOOKUP(G14,'1. Lists'!$T:$U,2,FALSE),"")</f>
        <v>67</v>
      </c>
      <c r="G14" s="208" t="s">
        <v>437</v>
      </c>
      <c r="H14" s="66">
        <f>IF(LEN(I14)&gt;0,VLOOKUP(I14,'1. Lists'!$AK:$AL,2,FALSE),"")</f>
        <v>9</v>
      </c>
      <c r="I14" s="124" t="s">
        <v>159</v>
      </c>
      <c r="J14" s="66">
        <f>IF(LEN(K14)&gt;0,VLOOKUP(K14,'1. Lists'!AA:AC,3,FALSE),"")</f>
        <v>4</v>
      </c>
      <c r="K14" s="215" t="s">
        <v>41</v>
      </c>
      <c r="L14" s="216">
        <f>IF(LEN(M14)&gt;0,VLOOKUP(M14,'1. Lists'!AH:AI,2,FALSE),"")</f>
        <v>11</v>
      </c>
      <c r="M14" s="207" t="s">
        <v>396</v>
      </c>
      <c r="N14" s="66">
        <f>IF(LEN(O14)&gt;0,VLOOKUP(O14,'1. Lists'!AE:AF,2,FALSE),"")</f>
        <v>11</v>
      </c>
      <c r="O14" s="208" t="s">
        <v>355</v>
      </c>
      <c r="P14" s="70">
        <f>IF(LEN(Q14)&gt;0,VLOOKUP(Q14,'1. Lists'!AS:AT,2,FALSE),"")</f>
        <v>2</v>
      </c>
      <c r="Q14" s="217" t="s">
        <v>382</v>
      </c>
      <c r="R14" s="73">
        <f>IF(LEN(S14)&gt;0,VLOOKUP(S14,'1. Lists'!W:Y,3,FALSE),"")</f>
        <v>1</v>
      </c>
      <c r="S14" s="121" t="s">
        <v>169</v>
      </c>
      <c r="T14" s="210" t="s">
        <v>666</v>
      </c>
      <c r="U14" s="210" t="s">
        <v>448</v>
      </c>
      <c r="V14" s="204"/>
      <c r="W14" s="66">
        <f>IF(LEN(X14)&gt;0,VLOOKUP(X14,'1. Lists'!$BD$3:$BF$50,3,FALSE),"")</f>
        <v>3</v>
      </c>
      <c r="X14" s="127" t="s">
        <v>338</v>
      </c>
      <c r="Y14" s="204" t="s">
        <v>68</v>
      </c>
      <c r="Z14" s="204">
        <v>1</v>
      </c>
      <c r="AA14" s="209" t="s">
        <v>374</v>
      </c>
      <c r="AB14" s="141">
        <v>5</v>
      </c>
      <c r="AC14" s="123" t="s">
        <v>830</v>
      </c>
      <c r="AD14" s="123"/>
      <c r="AE14" s="123"/>
      <c r="AF14" s="123"/>
      <c r="AG14" s="123"/>
      <c r="AH14" s="123"/>
      <c r="AI14" s="135" t="s">
        <v>460</v>
      </c>
      <c r="AJ14" s="80" t="str">
        <f>IF(LEN(AK14)&gt;0,VLOOKUP(AK14,'1. Lists'!$BQ:$BR,2,FALSE),"")</f>
        <v>LASTREV</v>
      </c>
      <c r="AK14" s="211" t="s">
        <v>192</v>
      </c>
      <c r="AL14" s="80">
        <f>IF(LEN(AM14)&gt;0,VLOOKUP(AM14,'1. Lists'!$BU$3:$BW$8,3,FALSE),"")</f>
        <v>2</v>
      </c>
      <c r="AM14" s="212" t="s">
        <v>82</v>
      </c>
      <c r="AN14" s="220">
        <v>3.8</v>
      </c>
      <c r="AO14" s="82">
        <f t="shared" si="0"/>
        <v>3.8</v>
      </c>
      <c r="AQ14" s="141">
        <v>0</v>
      </c>
      <c r="AR14" s="141">
        <v>0</v>
      </c>
      <c r="AS14" s="141">
        <v>0</v>
      </c>
      <c r="AT14" s="221">
        <v>3.8</v>
      </c>
      <c r="AV14" s="123"/>
      <c r="AW14" s="123"/>
      <c r="AX14" s="123"/>
      <c r="AY14" s="123"/>
      <c r="AZ14" s="123"/>
      <c r="BB14" s="213">
        <f t="shared" si="1"/>
        <v>3.8</v>
      </c>
      <c r="BC14" s="213">
        <f t="shared" si="2"/>
        <v>3.8</v>
      </c>
      <c r="BD14" s="213">
        <f t="shared" si="3"/>
        <v>3.8</v>
      </c>
      <c r="BE14" s="213">
        <v>0</v>
      </c>
      <c r="BF14" s="213"/>
      <c r="BG14" s="213">
        <f t="shared" si="4"/>
        <v>3.8</v>
      </c>
      <c r="BH14" s="213">
        <f t="shared" si="5"/>
        <v>3.8</v>
      </c>
      <c r="BI14" s="213">
        <f t="shared" si="6"/>
        <v>3.8</v>
      </c>
    </row>
    <row r="15" spans="1:61" ht="150" x14ac:dyDescent="0.25">
      <c r="A15" s="92">
        <f t="shared" si="7"/>
        <v>13</v>
      </c>
      <c r="B15" s="66">
        <f>IF(LEN(C15)&gt;0,VLOOKUP(C15,'1. Lists'!A:B,2,FALSE),"")</f>
        <v>3</v>
      </c>
      <c r="C15" s="214" t="s">
        <v>360</v>
      </c>
      <c r="D15" s="204" t="s">
        <v>660</v>
      </c>
      <c r="E15" s="204"/>
      <c r="F15" s="66">
        <f>IF(LEN(G15)&gt;0,VLOOKUP(G15,'1. Lists'!$T:$U,2,FALSE),"")</f>
        <v>67</v>
      </c>
      <c r="G15" s="208" t="s">
        <v>437</v>
      </c>
      <c r="H15" s="66">
        <f>IF(LEN(I15)&gt;0,VLOOKUP(I15,'1. Lists'!$AK:$AL,2,FALSE),"")</f>
        <v>9</v>
      </c>
      <c r="I15" s="124" t="s">
        <v>159</v>
      </c>
      <c r="J15" s="66">
        <f>IF(LEN(K15)&gt;0,VLOOKUP(K15,'1. Lists'!AA:AC,3,FALSE),"")</f>
        <v>4</v>
      </c>
      <c r="K15" s="215" t="s">
        <v>41</v>
      </c>
      <c r="L15" s="216">
        <f>IF(LEN(M15)&gt;0,VLOOKUP(M15,'1. Lists'!AH:AI,2,FALSE),"")</f>
        <v>11</v>
      </c>
      <c r="M15" s="207" t="s">
        <v>396</v>
      </c>
      <c r="N15" s="66">
        <f>IF(LEN(O15)&gt;0,VLOOKUP(O15,'1. Lists'!AE:AF,2,FALSE),"")</f>
        <v>11</v>
      </c>
      <c r="O15" s="208" t="s">
        <v>355</v>
      </c>
      <c r="P15" s="70">
        <f>IF(LEN(Q15)&gt;0,VLOOKUP(Q15,'1. Lists'!AS:AT,2,FALSE),"")</f>
        <v>2</v>
      </c>
      <c r="Q15" s="217" t="s">
        <v>382</v>
      </c>
      <c r="R15" s="73">
        <f>IF(LEN(S15)&gt;0,VLOOKUP(S15,'1. Lists'!W:Y,3,FALSE),"")</f>
        <v>1</v>
      </c>
      <c r="S15" s="121" t="s">
        <v>169</v>
      </c>
      <c r="T15" s="210" t="s">
        <v>667</v>
      </c>
      <c r="U15" s="210" t="s">
        <v>449</v>
      </c>
      <c r="V15" s="204"/>
      <c r="W15" s="66">
        <f>IF(LEN(X15)&gt;0,VLOOKUP(X15,'1. Lists'!$BD$3:$BF$50,3,FALSE),"")</f>
        <v>3</v>
      </c>
      <c r="X15" s="127" t="s">
        <v>338</v>
      </c>
      <c r="Y15" s="204" t="s">
        <v>68</v>
      </c>
      <c r="Z15" s="204">
        <v>1</v>
      </c>
      <c r="AA15" s="209" t="s">
        <v>374</v>
      </c>
      <c r="AB15" s="141">
        <v>3</v>
      </c>
      <c r="AC15" s="123" t="s">
        <v>830</v>
      </c>
      <c r="AD15" s="123"/>
      <c r="AE15" s="123"/>
      <c r="AF15" s="123"/>
      <c r="AG15" s="123"/>
      <c r="AH15" s="123"/>
      <c r="AI15" s="135" t="s">
        <v>460</v>
      </c>
      <c r="AJ15" s="80" t="str">
        <f>IF(LEN(AK15)&gt;0,VLOOKUP(AK15,'1. Lists'!$BQ:$BR,2,FALSE),"")</f>
        <v>LAST</v>
      </c>
      <c r="AK15" s="211" t="s">
        <v>190</v>
      </c>
      <c r="AL15" s="80">
        <f>IF(LEN(AM15)&gt;0,VLOOKUP(AM15,'1. Lists'!$BU$3:$BW$8,3,FALSE),"")</f>
        <v>3</v>
      </c>
      <c r="AM15" s="212" t="s">
        <v>83</v>
      </c>
      <c r="AN15" s="139">
        <v>8.6999999999999993</v>
      </c>
      <c r="AO15" s="82">
        <f t="shared" si="0"/>
        <v>8.6999999999999993</v>
      </c>
      <c r="AQ15" s="141">
        <v>0</v>
      </c>
      <c r="AR15" s="141">
        <v>0</v>
      </c>
      <c r="AS15" s="141">
        <v>0</v>
      </c>
      <c r="AT15" s="141">
        <v>8.6999999999999993</v>
      </c>
      <c r="AV15" s="123"/>
      <c r="AW15" s="123"/>
      <c r="AX15" s="123"/>
      <c r="AY15" s="123"/>
      <c r="AZ15" s="123"/>
      <c r="BB15" s="213">
        <f t="shared" si="1"/>
        <v>8.6999999999999993</v>
      </c>
      <c r="BC15" s="213">
        <f t="shared" si="2"/>
        <v>8.6999999999999993</v>
      </c>
      <c r="BD15" s="213">
        <f t="shared" si="3"/>
        <v>8.6999999999999993</v>
      </c>
      <c r="BE15" s="213">
        <v>0</v>
      </c>
      <c r="BF15" s="213"/>
      <c r="BG15" s="213">
        <f t="shared" si="4"/>
        <v>8.6999999999999993</v>
      </c>
      <c r="BH15" s="213">
        <f t="shared" si="5"/>
        <v>8.6999999999999993</v>
      </c>
      <c r="BI15" s="213">
        <f t="shared" si="6"/>
        <v>8.6999999999999993</v>
      </c>
    </row>
    <row r="16" spans="1:61" ht="90" x14ac:dyDescent="0.25">
      <c r="A16" s="92">
        <f t="shared" si="7"/>
        <v>14</v>
      </c>
      <c r="B16" s="66">
        <f>IF(LEN(C16)&gt;0,VLOOKUP(C16,'1. Lists'!A:B,2,FALSE),"")</f>
        <v>1</v>
      </c>
      <c r="C16" s="214" t="s">
        <v>358</v>
      </c>
      <c r="D16" s="204" t="s">
        <v>660</v>
      </c>
      <c r="E16" s="204"/>
      <c r="F16" s="66">
        <f>IF(LEN(G16)&gt;0,VLOOKUP(G16,'1. Lists'!$T:$U,2,FALSE),"")</f>
        <v>69</v>
      </c>
      <c r="G16" s="208" t="s">
        <v>438</v>
      </c>
      <c r="H16" s="66">
        <f>IF(LEN(I16)&gt;0,VLOOKUP(I16,'1. Lists'!$AK:$AL,2,FALSE),"")</f>
        <v>5</v>
      </c>
      <c r="I16" s="124" t="s">
        <v>155</v>
      </c>
      <c r="J16" s="66">
        <f>IF(LEN(K16)&gt;0,VLOOKUP(K16,'1. Lists'!AA:AC,3,FALSE),"")</f>
        <v>1</v>
      </c>
      <c r="K16" s="215" t="s">
        <v>38</v>
      </c>
      <c r="L16" s="216">
        <f>IF(LEN(M16)&gt;0,VLOOKUP(M16,'1. Lists'!AH:AI,2,FALSE),"")</f>
        <v>13</v>
      </c>
      <c r="M16" s="207" t="s">
        <v>398</v>
      </c>
      <c r="N16" s="66">
        <f>IF(LEN(O16)&gt;0,VLOOKUP(O16,'1. Lists'!AE:AF,2,FALSE),"")</f>
        <v>11</v>
      </c>
      <c r="O16" s="208" t="s">
        <v>355</v>
      </c>
      <c r="P16" s="70">
        <f>IF(LEN(Q16)&gt;0,VLOOKUP(Q16,'1. Lists'!AS:AT,2,FALSE),"")</f>
        <v>2</v>
      </c>
      <c r="Q16" s="217" t="s">
        <v>382</v>
      </c>
      <c r="R16" s="73">
        <f>IF(LEN(S16)&gt;0,VLOOKUP(S16,'1. Lists'!W:Y,3,FALSE),"")</f>
        <v>1</v>
      </c>
      <c r="S16" s="121" t="s">
        <v>169</v>
      </c>
      <c r="T16" s="210" t="s">
        <v>722</v>
      </c>
      <c r="U16" s="210" t="s">
        <v>723</v>
      </c>
      <c r="V16" s="204"/>
      <c r="W16" s="66">
        <f>IF(LEN(X16)&gt;0,VLOOKUP(X16,'1. Lists'!$BD$3:$BF$50,3,FALSE),"")</f>
        <v>5</v>
      </c>
      <c r="X16" s="127" t="s">
        <v>340</v>
      </c>
      <c r="Y16" s="204" t="s">
        <v>68</v>
      </c>
      <c r="Z16" s="204">
        <v>1</v>
      </c>
      <c r="AA16" s="217" t="s">
        <v>362</v>
      </c>
      <c r="AB16" s="141">
        <v>1</v>
      </c>
      <c r="AC16" s="123" t="s">
        <v>844</v>
      </c>
      <c r="AD16" s="123"/>
      <c r="AE16" s="123"/>
      <c r="AF16" s="123"/>
      <c r="AG16" s="123"/>
      <c r="AH16" s="123"/>
      <c r="AI16" s="135" t="s">
        <v>460</v>
      </c>
      <c r="AJ16" s="80" t="str">
        <f>IF(LEN(AK16)&gt;0,VLOOKUP(AK16,'1. Lists'!$BQ:$BR,2,FALSE),"")</f>
        <v>ACC</v>
      </c>
      <c r="AK16" s="211" t="s">
        <v>14</v>
      </c>
      <c r="AL16" s="80">
        <f>IF(LEN(AM16)&gt;0,VLOOKUP(AM16,'1. Lists'!$BU$3:$BW$8,3,FALSE),"")</f>
        <v>3</v>
      </c>
      <c r="AM16" s="212" t="s">
        <v>83</v>
      </c>
      <c r="AN16" s="139">
        <v>0</v>
      </c>
      <c r="AO16" s="82" t="str">
        <f t="shared" si="0"/>
        <v/>
      </c>
      <c r="AQ16" s="141">
        <v>0</v>
      </c>
      <c r="AR16" s="141">
        <v>0</v>
      </c>
      <c r="AS16" s="141">
        <v>0</v>
      </c>
      <c r="AT16" s="141">
        <v>0</v>
      </c>
      <c r="AV16" s="123"/>
      <c r="AW16" s="123"/>
      <c r="AX16" s="123"/>
      <c r="AY16" s="123"/>
      <c r="AZ16" s="123"/>
      <c r="BB16" s="213">
        <f t="shared" si="1"/>
        <v>0</v>
      </c>
      <c r="BC16" s="213">
        <f t="shared" si="2"/>
        <v>0</v>
      </c>
      <c r="BD16" s="213">
        <f t="shared" si="3"/>
        <v>0</v>
      </c>
      <c r="BE16" s="213">
        <v>0</v>
      </c>
      <c r="BF16" s="213"/>
      <c r="BG16" s="213">
        <f t="shared" si="4"/>
        <v>0</v>
      </c>
      <c r="BH16" s="213">
        <f t="shared" si="5"/>
        <v>0</v>
      </c>
      <c r="BI16" s="213">
        <f t="shared" si="6"/>
        <v>0</v>
      </c>
    </row>
    <row r="17" spans="1:61" ht="75" x14ac:dyDescent="0.25">
      <c r="A17" s="92">
        <f t="shared" si="7"/>
        <v>15</v>
      </c>
      <c r="B17" s="66">
        <f>IF(LEN(C17)&gt;0,VLOOKUP(C17,'1. Lists'!A:B,2,FALSE),"")</f>
        <v>1</v>
      </c>
      <c r="C17" s="214" t="s">
        <v>358</v>
      </c>
      <c r="D17" s="204" t="s">
        <v>660</v>
      </c>
      <c r="E17" s="204"/>
      <c r="F17" s="66">
        <f>IF(LEN(G17)&gt;0,VLOOKUP(G17,'1. Lists'!$T:$U,2,FALSE),"")</f>
        <v>69</v>
      </c>
      <c r="G17" s="208" t="s">
        <v>438</v>
      </c>
      <c r="H17" s="66">
        <f>IF(LEN(I17)&gt;0,VLOOKUP(I17,'1. Lists'!$AK:$AL,2,FALSE),"")</f>
        <v>5</v>
      </c>
      <c r="I17" s="124" t="s">
        <v>155</v>
      </c>
      <c r="J17" s="66">
        <f>IF(LEN(K17)&gt;0,VLOOKUP(K17,'1. Lists'!AA:AC,3,FALSE),"")</f>
        <v>4</v>
      </c>
      <c r="K17" s="215" t="s">
        <v>41</v>
      </c>
      <c r="L17" s="216">
        <f>IF(LEN(M17)&gt;0,VLOOKUP(M17,'1. Lists'!AH:AI,2,FALSE),"")</f>
        <v>13</v>
      </c>
      <c r="M17" s="207" t="s">
        <v>398</v>
      </c>
      <c r="N17" s="66">
        <f>IF(LEN(O17)&gt;0,VLOOKUP(O17,'1. Lists'!AE:AF,2,FALSE),"")</f>
        <v>11</v>
      </c>
      <c r="O17" s="208" t="s">
        <v>355</v>
      </c>
      <c r="P17" s="70">
        <f>IF(LEN(Q17)&gt;0,VLOOKUP(Q17,'1. Lists'!AS:AT,2,FALSE),"")</f>
        <v>2</v>
      </c>
      <c r="Q17" s="217" t="s">
        <v>382</v>
      </c>
      <c r="R17" s="73">
        <f>IF(LEN(S17)&gt;0,VLOOKUP(S17,'1. Lists'!W:Y,3,FALSE),"")</f>
        <v>1</v>
      </c>
      <c r="S17" s="121" t="s">
        <v>169</v>
      </c>
      <c r="T17" s="210" t="s">
        <v>724</v>
      </c>
      <c r="U17" s="210" t="s">
        <v>725</v>
      </c>
      <c r="V17" s="204"/>
      <c r="W17" s="66">
        <f>IF(LEN(X17)&gt;0,VLOOKUP(X17,'1. Lists'!$BD$3:$BF$50,3,FALSE),"")</f>
        <v>5</v>
      </c>
      <c r="X17" s="127" t="s">
        <v>340</v>
      </c>
      <c r="Y17" s="204" t="s">
        <v>68</v>
      </c>
      <c r="Z17" s="204">
        <v>1</v>
      </c>
      <c r="AA17" s="217" t="s">
        <v>362</v>
      </c>
      <c r="AB17" s="141">
        <v>1</v>
      </c>
      <c r="AC17" s="123" t="s">
        <v>845</v>
      </c>
      <c r="AD17" s="123"/>
      <c r="AE17" s="123"/>
      <c r="AF17" s="123"/>
      <c r="AG17" s="123"/>
      <c r="AH17" s="123"/>
      <c r="AI17" s="135" t="s">
        <v>460</v>
      </c>
      <c r="AJ17" s="80" t="str">
        <f>IF(LEN(AK17)&gt;0,VLOOKUP(AK17,'1. Lists'!$BQ:$BR,2,FALSE),"")</f>
        <v>LAST</v>
      </c>
      <c r="AK17" s="211" t="s">
        <v>190</v>
      </c>
      <c r="AL17" s="80">
        <f>IF(LEN(AM17)&gt;0,VLOOKUP(AM17,'1. Lists'!$BU$3:$BW$8,3,FALSE),"")</f>
        <v>2</v>
      </c>
      <c r="AM17" s="212" t="s">
        <v>82</v>
      </c>
      <c r="AN17" s="139">
        <v>1</v>
      </c>
      <c r="AO17" s="82">
        <f t="shared" si="0"/>
        <v>1</v>
      </c>
      <c r="AQ17" s="141">
        <v>0</v>
      </c>
      <c r="AR17" s="141">
        <v>0</v>
      </c>
      <c r="AS17" s="141">
        <v>0</v>
      </c>
      <c r="AT17" s="141">
        <v>1</v>
      </c>
      <c r="AV17" s="123"/>
      <c r="AW17" s="123"/>
      <c r="AX17" s="123"/>
      <c r="AY17" s="123"/>
      <c r="AZ17" s="123"/>
      <c r="BB17" s="213">
        <f t="shared" si="1"/>
        <v>1</v>
      </c>
      <c r="BC17" s="213">
        <f t="shared" si="2"/>
        <v>1</v>
      </c>
      <c r="BD17" s="213">
        <f t="shared" si="3"/>
        <v>1</v>
      </c>
      <c r="BE17" s="213">
        <v>0</v>
      </c>
      <c r="BF17" s="213"/>
      <c r="BG17" s="213">
        <f t="shared" si="4"/>
        <v>1</v>
      </c>
      <c r="BH17" s="213">
        <f t="shared" si="5"/>
        <v>1</v>
      </c>
      <c r="BI17" s="213">
        <f t="shared" si="6"/>
        <v>1</v>
      </c>
    </row>
    <row r="18" spans="1:61" ht="60" x14ac:dyDescent="0.25">
      <c r="A18" s="92">
        <f t="shared" si="7"/>
        <v>16</v>
      </c>
      <c r="B18" s="66">
        <f>IF(LEN(C18)&gt;0,VLOOKUP(C18,'1. Lists'!A:B,2,FALSE),"")</f>
        <v>1</v>
      </c>
      <c r="C18" s="214" t="s">
        <v>358</v>
      </c>
      <c r="D18" s="204" t="s">
        <v>661</v>
      </c>
      <c r="E18" s="204"/>
      <c r="F18" s="66">
        <f>IF(LEN(G18)&gt;0,VLOOKUP(G18,'1. Lists'!$T:$U,2,FALSE),"")</f>
        <v>74</v>
      </c>
      <c r="G18" s="208" t="s">
        <v>439</v>
      </c>
      <c r="H18" s="66">
        <f>IF(LEN(I18)&gt;0,VLOOKUP(I18,'1. Lists'!$AK:$AL,2,FALSE),"")</f>
        <v>9</v>
      </c>
      <c r="I18" s="124" t="s">
        <v>159</v>
      </c>
      <c r="J18" s="66">
        <f>IF(LEN(K18)&gt;0,VLOOKUP(K18,'1. Lists'!AA:AC,3,FALSE),"")</f>
        <v>5</v>
      </c>
      <c r="K18" s="215" t="s">
        <v>42</v>
      </c>
      <c r="L18" s="216">
        <f>IF(LEN(M18)&gt;0,VLOOKUP(M18,'1. Lists'!AH:AI,2,FALSE),"")</f>
        <v>5</v>
      </c>
      <c r="M18" s="207" t="s">
        <v>390</v>
      </c>
      <c r="N18" s="66">
        <f>IF(LEN(O18)&gt;0,VLOOKUP(O18,'1. Lists'!AE:AF,2,FALSE),"")</f>
        <v>11</v>
      </c>
      <c r="O18" s="208" t="s">
        <v>355</v>
      </c>
      <c r="P18" s="70">
        <f>IF(LEN(Q18)&gt;0,VLOOKUP(Q18,'1. Lists'!AS:AT,2,FALSE),"")</f>
        <v>2</v>
      </c>
      <c r="Q18" s="217" t="s">
        <v>382</v>
      </c>
      <c r="R18" s="73">
        <f>IF(LEN(S18)&gt;0,VLOOKUP(S18,'1. Lists'!W:Y,3,FALSE),"")</f>
        <v>1</v>
      </c>
      <c r="S18" s="121" t="s">
        <v>169</v>
      </c>
      <c r="T18" s="210" t="s">
        <v>726</v>
      </c>
      <c r="U18" s="210" t="s">
        <v>727</v>
      </c>
      <c r="V18" s="204"/>
      <c r="W18" s="66">
        <f>IF(LEN(X18)&gt;0,VLOOKUP(X18,'1. Lists'!$BD$3:$BF$50,3,FALSE),"")</f>
        <v>5</v>
      </c>
      <c r="X18" s="127" t="s">
        <v>340</v>
      </c>
      <c r="Y18" s="204" t="s">
        <v>68</v>
      </c>
      <c r="Z18" s="204">
        <v>1</v>
      </c>
      <c r="AA18" s="217" t="s">
        <v>362</v>
      </c>
      <c r="AB18" s="141">
        <v>1</v>
      </c>
      <c r="AC18" s="123" t="s">
        <v>728</v>
      </c>
      <c r="AD18" s="123"/>
      <c r="AE18" s="123"/>
      <c r="AF18" s="123"/>
      <c r="AG18" s="123"/>
      <c r="AH18" s="123"/>
      <c r="AI18" s="135" t="s">
        <v>460</v>
      </c>
      <c r="AJ18" s="80" t="str">
        <f>IF(LEN(AK18)&gt;0,VLOOKUP(AK18,'1. Lists'!$BQ:$BR,2,FALSE),"")</f>
        <v>CO</v>
      </c>
      <c r="AK18" s="211" t="s">
        <v>12</v>
      </c>
      <c r="AL18" s="80">
        <f>IF(LEN(AM18)&gt;0,VLOOKUP(AM18,'1. Lists'!$BU$3:$BW$8,3,FALSE),"")</f>
        <v>3</v>
      </c>
      <c r="AM18" s="212" t="s">
        <v>83</v>
      </c>
      <c r="AN18" s="139">
        <v>1</v>
      </c>
      <c r="AO18" s="82">
        <f t="shared" si="0"/>
        <v>1</v>
      </c>
      <c r="AQ18" s="141">
        <v>0</v>
      </c>
      <c r="AR18" s="141">
        <v>0</v>
      </c>
      <c r="AS18" s="141">
        <v>0</v>
      </c>
      <c r="AT18" s="141">
        <v>1</v>
      </c>
      <c r="AV18" s="123"/>
      <c r="AW18" s="123"/>
      <c r="AX18" s="123"/>
      <c r="AY18" s="123"/>
      <c r="AZ18" s="123"/>
      <c r="BB18" s="213">
        <f t="shared" si="1"/>
        <v>1</v>
      </c>
      <c r="BC18" s="213">
        <f t="shared" si="2"/>
        <v>1</v>
      </c>
      <c r="BD18" s="213">
        <f t="shared" si="3"/>
        <v>1</v>
      </c>
      <c r="BE18" s="213">
        <v>0</v>
      </c>
      <c r="BF18" s="213"/>
      <c r="BG18" s="213">
        <f t="shared" si="4"/>
        <v>1</v>
      </c>
      <c r="BH18" s="213">
        <f t="shared" si="5"/>
        <v>1</v>
      </c>
      <c r="BI18" s="213">
        <f t="shared" si="6"/>
        <v>1</v>
      </c>
    </row>
    <row r="19" spans="1:61" ht="60" x14ac:dyDescent="0.25">
      <c r="A19" s="92">
        <f t="shared" si="7"/>
        <v>17</v>
      </c>
      <c r="B19" s="66">
        <f>IF(LEN(C19)&gt;0,VLOOKUP(C19,'1. Lists'!A:B,2,FALSE),"")</f>
        <v>1</v>
      </c>
      <c r="C19" s="214" t="s">
        <v>358</v>
      </c>
      <c r="D19" s="204" t="s">
        <v>661</v>
      </c>
      <c r="E19" s="204"/>
      <c r="F19" s="66">
        <f>IF(LEN(G19)&gt;0,VLOOKUP(G19,'1. Lists'!$T:$U,2,FALSE),"")</f>
        <v>46</v>
      </c>
      <c r="G19" s="208" t="s">
        <v>431</v>
      </c>
      <c r="H19" s="66">
        <f>IF(LEN(I19)&gt;0,VLOOKUP(I19,'1. Lists'!$AK:$AL,2,FALSE),"")</f>
        <v>12</v>
      </c>
      <c r="I19" s="124" t="s">
        <v>162</v>
      </c>
      <c r="J19" s="66">
        <f>IF(LEN(K19)&gt;0,VLOOKUP(K19,'1. Lists'!AA:AC,3,FALSE),"")</f>
        <v>2</v>
      </c>
      <c r="K19" s="215" t="s">
        <v>39</v>
      </c>
      <c r="L19" s="216">
        <f>IF(LEN(M19)&gt;0,VLOOKUP(M19,'1. Lists'!AH:AI,2,FALSE),"")</f>
        <v>3</v>
      </c>
      <c r="M19" s="207" t="s">
        <v>388</v>
      </c>
      <c r="N19" s="66">
        <f>IF(LEN(O19)&gt;0,VLOOKUP(O19,'1. Lists'!AE:AF,2,FALSE),"")</f>
        <v>9</v>
      </c>
      <c r="O19" s="208" t="s">
        <v>353</v>
      </c>
      <c r="P19" s="70">
        <f>IF(LEN(Q19)&gt;0,VLOOKUP(Q19,'1. Lists'!AS:AT,2,FALSE),"")</f>
        <v>3</v>
      </c>
      <c r="Q19" s="217" t="s">
        <v>383</v>
      </c>
      <c r="R19" s="73">
        <f>IF(LEN(S19)&gt;0,VLOOKUP(S19,'1. Lists'!W:Y,3,FALSE),"")</f>
        <v>1</v>
      </c>
      <c r="S19" s="121" t="s">
        <v>169</v>
      </c>
      <c r="T19" s="210" t="s">
        <v>729</v>
      </c>
      <c r="U19" s="210" t="s">
        <v>730</v>
      </c>
      <c r="V19" s="204"/>
      <c r="W19" s="66">
        <f>IF(LEN(X19)&gt;0,VLOOKUP(X19,'1. Lists'!$BD$3:$BF$50,3,FALSE),"")</f>
        <v>3</v>
      </c>
      <c r="X19" s="127" t="s">
        <v>338</v>
      </c>
      <c r="Y19" s="204" t="s">
        <v>68</v>
      </c>
      <c r="Z19" s="204">
        <v>1</v>
      </c>
      <c r="AA19" s="217" t="s">
        <v>362</v>
      </c>
      <c r="AB19" s="141">
        <v>1</v>
      </c>
      <c r="AC19" s="123" t="s">
        <v>731</v>
      </c>
      <c r="AD19" s="123"/>
      <c r="AE19" s="123"/>
      <c r="AF19" s="123"/>
      <c r="AG19" s="123"/>
      <c r="AH19" s="123"/>
      <c r="AI19" s="135" t="s">
        <v>460</v>
      </c>
      <c r="AJ19" s="80" t="str">
        <f>IF(LEN(AK19)&gt;0,VLOOKUP(AK19,'1. Lists'!$BQ:$BR,2,FALSE),"")</f>
        <v>CO</v>
      </c>
      <c r="AK19" s="211" t="s">
        <v>12</v>
      </c>
      <c r="AL19" s="80">
        <f>IF(LEN(AM19)&gt;0,VLOOKUP(AM19,'1. Lists'!$BU$3:$BW$8,3,FALSE),"")</f>
        <v>3</v>
      </c>
      <c r="AM19" s="212" t="s">
        <v>83</v>
      </c>
      <c r="AN19" s="139">
        <v>1</v>
      </c>
      <c r="AO19" s="82">
        <f t="shared" si="0"/>
        <v>1</v>
      </c>
      <c r="AQ19" s="141">
        <v>0</v>
      </c>
      <c r="AR19" s="141">
        <v>0</v>
      </c>
      <c r="AS19" s="141">
        <v>1</v>
      </c>
      <c r="AT19" s="141">
        <v>0</v>
      </c>
      <c r="AV19" s="123"/>
      <c r="AW19" s="123"/>
      <c r="AX19" s="123"/>
      <c r="AY19" s="123"/>
      <c r="AZ19" s="123"/>
      <c r="BB19" s="213">
        <f t="shared" si="1"/>
        <v>1</v>
      </c>
      <c r="BC19" s="213">
        <f t="shared" si="2"/>
        <v>1</v>
      </c>
      <c r="BD19" s="213">
        <f t="shared" si="3"/>
        <v>1</v>
      </c>
      <c r="BE19" s="213">
        <v>0</v>
      </c>
      <c r="BF19" s="213"/>
      <c r="BG19" s="213">
        <f t="shared" si="4"/>
        <v>1</v>
      </c>
      <c r="BH19" s="213">
        <f t="shared" si="5"/>
        <v>1</v>
      </c>
      <c r="BI19" s="213">
        <f t="shared" si="6"/>
        <v>1</v>
      </c>
    </row>
    <row r="20" spans="1:61" ht="60" x14ac:dyDescent="0.25">
      <c r="A20" s="92">
        <f t="shared" si="7"/>
        <v>18</v>
      </c>
      <c r="B20" s="66">
        <f>IF(LEN(C20)&gt;0,VLOOKUP(C20,'1. Lists'!A:B,2,FALSE),"")</f>
        <v>1</v>
      </c>
      <c r="C20" s="214" t="s">
        <v>358</v>
      </c>
      <c r="D20" s="204" t="s">
        <v>661</v>
      </c>
      <c r="E20" s="204"/>
      <c r="F20" s="66">
        <f>IF(LEN(G20)&gt;0,VLOOKUP(G20,'1. Lists'!$T:$U,2,FALSE),"")</f>
        <v>69</v>
      </c>
      <c r="G20" s="208" t="s">
        <v>438</v>
      </c>
      <c r="H20" s="66">
        <f>IF(LEN(I20)&gt;0,VLOOKUP(I20,'1. Lists'!$AK:$AL,2,FALSE),"")</f>
        <v>5</v>
      </c>
      <c r="I20" s="124" t="s">
        <v>155</v>
      </c>
      <c r="J20" s="66">
        <f>IF(LEN(K20)&gt;0,VLOOKUP(K20,'1. Lists'!AA:AC,3,FALSE),"")</f>
        <v>1</v>
      </c>
      <c r="K20" s="215" t="s">
        <v>38</v>
      </c>
      <c r="L20" s="216">
        <f>IF(LEN(M20)&gt;0,VLOOKUP(M20,'1. Lists'!AH:AI,2,FALSE),"")</f>
        <v>13</v>
      </c>
      <c r="M20" s="207" t="s">
        <v>398</v>
      </c>
      <c r="N20" s="66">
        <f>IF(LEN(O20)&gt;0,VLOOKUP(O20,'1. Lists'!AE:AF,2,FALSE),"")</f>
        <v>11</v>
      </c>
      <c r="O20" s="208" t="s">
        <v>355</v>
      </c>
      <c r="P20" s="70">
        <f>IF(LEN(Q20)&gt;0,VLOOKUP(Q20,'1. Lists'!AS:AT,2,FALSE),"")</f>
        <v>2</v>
      </c>
      <c r="Q20" s="217" t="s">
        <v>382</v>
      </c>
      <c r="R20" s="73">
        <f>IF(LEN(S20)&gt;0,VLOOKUP(S20,'1. Lists'!W:Y,3,FALSE),"")</f>
        <v>1</v>
      </c>
      <c r="S20" s="121" t="s">
        <v>169</v>
      </c>
      <c r="T20" s="210" t="s">
        <v>732</v>
      </c>
      <c r="U20" s="210" t="s">
        <v>733</v>
      </c>
      <c r="V20" s="204"/>
      <c r="W20" s="66">
        <f>IF(LEN(X20)&gt;0,VLOOKUP(X20,'1. Lists'!$BD$3:$BF$50,3,FALSE),"")</f>
        <v>5</v>
      </c>
      <c r="X20" s="127" t="s">
        <v>340</v>
      </c>
      <c r="Y20" s="204" t="s">
        <v>68</v>
      </c>
      <c r="Z20" s="204">
        <v>1</v>
      </c>
      <c r="AA20" s="217" t="s">
        <v>362</v>
      </c>
      <c r="AB20" s="222">
        <v>0.1</v>
      </c>
      <c r="AC20" s="123" t="s">
        <v>734</v>
      </c>
      <c r="AD20" s="123"/>
      <c r="AE20" s="123"/>
      <c r="AF20" s="123"/>
      <c r="AG20" s="123"/>
      <c r="AH20" s="123"/>
      <c r="AI20" s="135" t="s">
        <v>460</v>
      </c>
      <c r="AJ20" s="80" t="str">
        <f>IF(LEN(AK20)&gt;0,VLOOKUP(AK20,'1. Lists'!$BQ:$BR,2,FALSE),"")</f>
        <v>LASTREV</v>
      </c>
      <c r="AK20" s="211" t="s">
        <v>192</v>
      </c>
      <c r="AL20" s="80">
        <f>IF(LEN(AM20)&gt;0,VLOOKUP(AM20,'1. Lists'!$BU$3:$BW$8,3,FALSE),"")</f>
        <v>2</v>
      </c>
      <c r="AM20" s="212" t="s">
        <v>82</v>
      </c>
      <c r="AN20" s="139">
        <v>15</v>
      </c>
      <c r="AO20" s="82">
        <f t="shared" si="0"/>
        <v>15</v>
      </c>
      <c r="AQ20" s="141">
        <v>0</v>
      </c>
      <c r="AR20" s="141">
        <v>15</v>
      </c>
      <c r="AS20" s="141">
        <v>0</v>
      </c>
      <c r="AT20" s="141">
        <v>15</v>
      </c>
      <c r="AV20" s="123"/>
      <c r="AW20" s="123"/>
      <c r="AX20" s="123"/>
      <c r="AY20" s="123"/>
      <c r="AZ20" s="123"/>
      <c r="BB20" s="213">
        <f t="shared" si="1"/>
        <v>15</v>
      </c>
      <c r="BC20" s="213">
        <f t="shared" si="2"/>
        <v>30</v>
      </c>
      <c r="BD20" s="213">
        <f t="shared" si="3"/>
        <v>15</v>
      </c>
      <c r="BE20" s="213">
        <v>0</v>
      </c>
      <c r="BF20" s="213"/>
      <c r="BG20" s="213">
        <f t="shared" si="4"/>
        <v>15</v>
      </c>
      <c r="BH20" s="213">
        <f t="shared" si="5"/>
        <v>15</v>
      </c>
      <c r="BI20" s="213">
        <f t="shared" si="6"/>
        <v>15</v>
      </c>
    </row>
    <row r="21" spans="1:61" ht="60" x14ac:dyDescent="0.25">
      <c r="A21" s="92">
        <f t="shared" si="7"/>
        <v>19</v>
      </c>
      <c r="B21" s="66">
        <f>IF(LEN(C21)&gt;0,VLOOKUP(C21,'1. Lists'!A:B,2,FALSE),"")</f>
        <v>1</v>
      </c>
      <c r="C21" s="214" t="s">
        <v>358</v>
      </c>
      <c r="D21" s="204" t="s">
        <v>661</v>
      </c>
      <c r="E21" s="204"/>
      <c r="F21" s="66">
        <f>IF(LEN(G21)&gt;0,VLOOKUP(G21,'1. Lists'!$T:$U,2,FALSE),"")</f>
        <v>74</v>
      </c>
      <c r="G21" s="208" t="s">
        <v>439</v>
      </c>
      <c r="H21" s="66">
        <f>IF(LEN(I21)&gt;0,VLOOKUP(I21,'1. Lists'!$AK:$AL,2,FALSE),"")</f>
        <v>9</v>
      </c>
      <c r="I21" s="124" t="s">
        <v>159</v>
      </c>
      <c r="J21" s="66">
        <f>IF(LEN(K21)&gt;0,VLOOKUP(K21,'1. Lists'!AA:AC,3,FALSE),"")</f>
        <v>5</v>
      </c>
      <c r="K21" s="215" t="s">
        <v>42</v>
      </c>
      <c r="L21" s="216">
        <f>IF(LEN(M21)&gt;0,VLOOKUP(M21,'1. Lists'!AH:AI,2,FALSE),"")</f>
        <v>5</v>
      </c>
      <c r="M21" s="207" t="s">
        <v>390</v>
      </c>
      <c r="N21" s="66">
        <f>IF(LEN(O21)&gt;0,VLOOKUP(O21,'1. Lists'!AE:AF,2,FALSE),"")</f>
        <v>11</v>
      </c>
      <c r="O21" s="208" t="s">
        <v>355</v>
      </c>
      <c r="P21" s="70">
        <f>IF(LEN(Q21)&gt;0,VLOOKUP(Q21,'1. Lists'!AS:AT,2,FALSE),"")</f>
        <v>2</v>
      </c>
      <c r="Q21" s="217" t="s">
        <v>382</v>
      </c>
      <c r="R21" s="73">
        <f>IF(LEN(S21)&gt;0,VLOOKUP(S21,'1. Lists'!W:Y,3,FALSE),"")</f>
        <v>1</v>
      </c>
      <c r="S21" s="121" t="s">
        <v>169</v>
      </c>
      <c r="T21" s="210" t="s">
        <v>735</v>
      </c>
      <c r="U21" s="210" t="s">
        <v>736</v>
      </c>
      <c r="V21" s="204"/>
      <c r="W21" s="66">
        <f>IF(LEN(X21)&gt;0,VLOOKUP(X21,'1. Lists'!$BD$3:$BF$50,3,FALSE),"")</f>
        <v>5</v>
      </c>
      <c r="X21" s="127" t="s">
        <v>340</v>
      </c>
      <c r="Y21" s="204" t="s">
        <v>68</v>
      </c>
      <c r="Z21" s="204">
        <v>1</v>
      </c>
      <c r="AA21" s="209" t="s">
        <v>362</v>
      </c>
      <c r="AB21" s="141">
        <v>1</v>
      </c>
      <c r="AC21" s="123" t="s">
        <v>737</v>
      </c>
      <c r="AD21" s="123"/>
      <c r="AE21" s="123"/>
      <c r="AF21" s="123"/>
      <c r="AG21" s="123"/>
      <c r="AH21" s="123"/>
      <c r="AI21" s="135" t="s">
        <v>460</v>
      </c>
      <c r="AJ21" s="80" t="str">
        <f>IF(LEN(AK21)&gt;0,VLOOKUP(AK21,'1. Lists'!$BQ:$BR,2,FALSE),"")</f>
        <v>CO</v>
      </c>
      <c r="AK21" s="211" t="s">
        <v>12</v>
      </c>
      <c r="AL21" s="80">
        <f>IF(LEN(AM21)&gt;0,VLOOKUP(AM21,'1. Lists'!$BU$3:$BW$8,3,FALSE),"")</f>
        <v>3</v>
      </c>
      <c r="AM21" s="212" t="s">
        <v>83</v>
      </c>
      <c r="AN21" s="139">
        <v>1</v>
      </c>
      <c r="AO21" s="82">
        <f t="shared" si="0"/>
        <v>1</v>
      </c>
      <c r="AQ21" s="141">
        <v>0</v>
      </c>
      <c r="AR21" s="141">
        <v>0</v>
      </c>
      <c r="AS21" s="141">
        <v>0</v>
      </c>
      <c r="AT21" s="141">
        <v>1</v>
      </c>
      <c r="AV21" s="123"/>
      <c r="AW21" s="123"/>
      <c r="AX21" s="123"/>
      <c r="AY21" s="123"/>
      <c r="AZ21" s="123"/>
      <c r="BB21" s="213">
        <f t="shared" si="1"/>
        <v>1</v>
      </c>
      <c r="BC21" s="213">
        <f t="shared" si="2"/>
        <v>1</v>
      </c>
      <c r="BD21" s="213">
        <f t="shared" si="3"/>
        <v>1</v>
      </c>
      <c r="BE21" s="213">
        <v>0</v>
      </c>
      <c r="BF21" s="213"/>
      <c r="BG21" s="213">
        <f t="shared" si="4"/>
        <v>1</v>
      </c>
      <c r="BH21" s="213">
        <f t="shared" si="5"/>
        <v>1</v>
      </c>
      <c r="BI21" s="213">
        <f t="shared" si="6"/>
        <v>1</v>
      </c>
    </row>
    <row r="22" spans="1:61" ht="60" x14ac:dyDescent="0.25">
      <c r="A22" s="92">
        <f t="shared" si="7"/>
        <v>20</v>
      </c>
      <c r="B22" s="66">
        <f>IF(LEN(C22)&gt;0,VLOOKUP(C22,'1. Lists'!A:B,2,FALSE),"")</f>
        <v>1</v>
      </c>
      <c r="C22" s="214" t="s">
        <v>358</v>
      </c>
      <c r="D22" s="204" t="s">
        <v>661</v>
      </c>
      <c r="E22" s="204"/>
      <c r="F22" s="66">
        <f>IF(LEN(G22)&gt;0,VLOOKUP(G22,'1. Lists'!$T:$U,2,FALSE),"")</f>
        <v>74</v>
      </c>
      <c r="G22" s="208" t="s">
        <v>439</v>
      </c>
      <c r="H22" s="66">
        <f>IF(LEN(I22)&gt;0,VLOOKUP(I22,'1. Lists'!$AK:$AL,2,FALSE),"")</f>
        <v>9</v>
      </c>
      <c r="I22" s="124" t="s">
        <v>159</v>
      </c>
      <c r="J22" s="66">
        <f>IF(LEN(K22)&gt;0,VLOOKUP(K22,'1. Lists'!AA:AC,3,FALSE),"")</f>
        <v>5</v>
      </c>
      <c r="K22" s="215" t="s">
        <v>42</v>
      </c>
      <c r="L22" s="216">
        <f>IF(LEN(M22)&gt;0,VLOOKUP(M22,'1. Lists'!AH:AI,2,FALSE),"")</f>
        <v>5</v>
      </c>
      <c r="M22" s="207" t="s">
        <v>390</v>
      </c>
      <c r="N22" s="66">
        <f>IF(LEN(O22)&gt;0,VLOOKUP(O22,'1. Lists'!AE:AF,2,FALSE),"")</f>
        <v>11</v>
      </c>
      <c r="O22" s="208" t="s">
        <v>355</v>
      </c>
      <c r="P22" s="70">
        <f>IF(LEN(Q22)&gt;0,VLOOKUP(Q22,'1. Lists'!AS:AT,2,FALSE),"")</f>
        <v>2</v>
      </c>
      <c r="Q22" s="217" t="s">
        <v>382</v>
      </c>
      <c r="R22" s="73">
        <f>IF(LEN(S22)&gt;0,VLOOKUP(S22,'1. Lists'!W:Y,3,FALSE),"")</f>
        <v>1</v>
      </c>
      <c r="S22" s="121" t="s">
        <v>169</v>
      </c>
      <c r="T22" s="210" t="s">
        <v>738</v>
      </c>
      <c r="U22" s="210" t="s">
        <v>739</v>
      </c>
      <c r="V22" s="204"/>
      <c r="W22" s="66">
        <f>IF(LEN(X22)&gt;0,VLOOKUP(X22,'1. Lists'!$BD$3:$BF$50,3,FALSE),"")</f>
        <v>5</v>
      </c>
      <c r="X22" s="127" t="s">
        <v>340</v>
      </c>
      <c r="Y22" s="204" t="s">
        <v>68</v>
      </c>
      <c r="Z22" s="204">
        <v>1</v>
      </c>
      <c r="AA22" s="217" t="s">
        <v>362</v>
      </c>
      <c r="AB22" s="141">
        <v>6</v>
      </c>
      <c r="AC22" s="123" t="s">
        <v>737</v>
      </c>
      <c r="AD22" s="123"/>
      <c r="AE22" s="123"/>
      <c r="AF22" s="123"/>
      <c r="AG22" s="123"/>
      <c r="AH22" s="123"/>
      <c r="AI22" s="135" t="s">
        <v>460</v>
      </c>
      <c r="AJ22" s="80" t="str">
        <f>IF(LEN(AK22)&gt;0,VLOOKUP(AK22,'1. Lists'!$BQ:$BR,2,FALSE),"")</f>
        <v>ACC</v>
      </c>
      <c r="AK22" s="211" t="s">
        <v>14</v>
      </c>
      <c r="AL22" s="80">
        <f>IF(LEN(AM22)&gt;0,VLOOKUP(AM22,'1. Lists'!$BU$3:$BW$8,3,FALSE),"")</f>
        <v>3</v>
      </c>
      <c r="AM22" s="212" t="s">
        <v>83</v>
      </c>
      <c r="AN22" s="139">
        <v>5</v>
      </c>
      <c r="AO22" s="82">
        <f t="shared" si="0"/>
        <v>5</v>
      </c>
      <c r="AQ22" s="141">
        <v>0</v>
      </c>
      <c r="AR22" s="141">
        <v>2</v>
      </c>
      <c r="AS22" s="141">
        <v>1</v>
      </c>
      <c r="AT22" s="141">
        <v>2</v>
      </c>
      <c r="AV22" s="123"/>
      <c r="AW22" s="123"/>
      <c r="AX22" s="123"/>
      <c r="AY22" s="123"/>
      <c r="AZ22" s="123"/>
      <c r="BB22" s="213">
        <f t="shared" si="1"/>
        <v>2</v>
      </c>
      <c r="BC22" s="213">
        <f t="shared" si="2"/>
        <v>5</v>
      </c>
      <c r="BD22" s="213">
        <f t="shared" si="3"/>
        <v>1.6666666666666667</v>
      </c>
      <c r="BE22" s="213">
        <v>0</v>
      </c>
      <c r="BF22" s="213"/>
      <c r="BG22" s="213">
        <f t="shared" si="4"/>
        <v>1.6666666666666667</v>
      </c>
      <c r="BH22" s="213">
        <f t="shared" si="5"/>
        <v>2</v>
      </c>
      <c r="BI22" s="213">
        <f t="shared" si="6"/>
        <v>2</v>
      </c>
    </row>
    <row r="23" spans="1:61" ht="60" x14ac:dyDescent="0.25">
      <c r="A23" s="92">
        <f t="shared" si="7"/>
        <v>21</v>
      </c>
      <c r="B23" s="66">
        <f>IF(LEN(C23)&gt;0,VLOOKUP(C23,'1. Lists'!A:B,2,FALSE),"")</f>
        <v>1</v>
      </c>
      <c r="C23" s="214" t="s">
        <v>358</v>
      </c>
      <c r="D23" s="204" t="s">
        <v>661</v>
      </c>
      <c r="E23" s="204"/>
      <c r="F23" s="66">
        <f>IF(LEN(G23)&gt;0,VLOOKUP(G23,'1. Lists'!$T:$U,2,FALSE),"")</f>
        <v>95</v>
      </c>
      <c r="G23" s="208" t="s">
        <v>440</v>
      </c>
      <c r="H23" s="66">
        <f>IF(LEN(I23)&gt;0,VLOOKUP(I23,'1. Lists'!$AK:$AL,2,FALSE),"")</f>
        <v>9</v>
      </c>
      <c r="I23" s="124" t="s">
        <v>159</v>
      </c>
      <c r="J23" s="66">
        <f>IF(LEN(K23)&gt;0,VLOOKUP(K23,'1. Lists'!AA:AC,3,FALSE),"")</f>
        <v>5</v>
      </c>
      <c r="K23" s="215" t="s">
        <v>42</v>
      </c>
      <c r="L23" s="216">
        <f>IF(LEN(M23)&gt;0,VLOOKUP(M23,'1. Lists'!AH:AI,2,FALSE),"")</f>
        <v>5</v>
      </c>
      <c r="M23" s="207" t="s">
        <v>390</v>
      </c>
      <c r="N23" s="66">
        <f>IF(LEN(O23)&gt;0,VLOOKUP(O23,'1. Lists'!AE:AF,2,FALSE),"")</f>
        <v>11</v>
      </c>
      <c r="O23" s="208" t="s">
        <v>355</v>
      </c>
      <c r="P23" s="70">
        <f>IF(LEN(Q23)&gt;0,VLOOKUP(Q23,'1. Lists'!AS:AT,2,FALSE),"")</f>
        <v>2</v>
      </c>
      <c r="Q23" s="217" t="s">
        <v>382</v>
      </c>
      <c r="R23" s="73">
        <f>IF(LEN(S23)&gt;0,VLOOKUP(S23,'1. Lists'!W:Y,3,FALSE),"")</f>
        <v>1</v>
      </c>
      <c r="S23" s="121" t="s">
        <v>169</v>
      </c>
      <c r="T23" s="210" t="s">
        <v>740</v>
      </c>
      <c r="U23" s="210" t="s">
        <v>450</v>
      </c>
      <c r="V23" s="204"/>
      <c r="W23" s="66">
        <f>IF(LEN(X23)&gt;0,VLOOKUP(X23,'1. Lists'!$BD$3:$BF$50,3,FALSE),"")</f>
        <v>5</v>
      </c>
      <c r="X23" s="127" t="s">
        <v>340</v>
      </c>
      <c r="Y23" s="204" t="s">
        <v>68</v>
      </c>
      <c r="Z23" s="204">
        <v>1</v>
      </c>
      <c r="AA23" s="209" t="s">
        <v>362</v>
      </c>
      <c r="AB23" s="141">
        <v>4</v>
      </c>
      <c r="AC23" s="123" t="s">
        <v>741</v>
      </c>
      <c r="AD23" s="123"/>
      <c r="AE23" s="123"/>
      <c r="AF23" s="123"/>
      <c r="AG23" s="123"/>
      <c r="AH23" s="123"/>
      <c r="AI23" s="135" t="s">
        <v>460</v>
      </c>
      <c r="AJ23" s="80" t="str">
        <f>IF(LEN(AK23)&gt;0,VLOOKUP(AK23,'1. Lists'!$BQ:$BR,2,FALSE),"")</f>
        <v>ACC</v>
      </c>
      <c r="AK23" s="211" t="s">
        <v>14</v>
      </c>
      <c r="AL23" s="80">
        <f>IF(LEN(AM23)&gt;0,VLOOKUP(AM23,'1. Lists'!$BU$3:$BW$8,3,FALSE),"")</f>
        <v>3</v>
      </c>
      <c r="AM23" s="212" t="s">
        <v>83</v>
      </c>
      <c r="AN23" s="139">
        <v>4</v>
      </c>
      <c r="AO23" s="82">
        <f t="shared" si="0"/>
        <v>4</v>
      </c>
      <c r="AQ23" s="141">
        <v>1</v>
      </c>
      <c r="AR23" s="141">
        <v>1</v>
      </c>
      <c r="AS23" s="141">
        <v>1</v>
      </c>
      <c r="AT23" s="141">
        <v>1</v>
      </c>
      <c r="AV23" s="123"/>
      <c r="AW23" s="123"/>
      <c r="AX23" s="123"/>
      <c r="AY23" s="123"/>
      <c r="AZ23" s="123"/>
      <c r="BB23" s="213">
        <f t="shared" si="1"/>
        <v>1</v>
      </c>
      <c r="BC23" s="213">
        <f t="shared" si="2"/>
        <v>4</v>
      </c>
      <c r="BD23" s="213">
        <f t="shared" si="3"/>
        <v>1</v>
      </c>
      <c r="BE23" s="213">
        <v>0</v>
      </c>
      <c r="BF23" s="213"/>
      <c r="BG23" s="213">
        <f t="shared" si="4"/>
        <v>1</v>
      </c>
      <c r="BH23" s="213">
        <f t="shared" si="5"/>
        <v>1</v>
      </c>
      <c r="BI23" s="213">
        <f t="shared" si="6"/>
        <v>1</v>
      </c>
    </row>
    <row r="24" spans="1:61" ht="75" x14ac:dyDescent="0.25">
      <c r="A24" s="92">
        <f t="shared" si="7"/>
        <v>22</v>
      </c>
      <c r="B24" s="66">
        <f>IF(LEN(C24)&gt;0,VLOOKUP(C24,'1. Lists'!A:B,2,FALSE),"")</f>
        <v>1</v>
      </c>
      <c r="C24" s="214" t="s">
        <v>358</v>
      </c>
      <c r="D24" s="204" t="s">
        <v>661</v>
      </c>
      <c r="E24" s="204"/>
      <c r="F24" s="66">
        <f>IF(LEN(G24)&gt;0,VLOOKUP(G24,'1. Lists'!$T:$U,2,FALSE),"")</f>
        <v>74</v>
      </c>
      <c r="G24" s="208" t="s">
        <v>439</v>
      </c>
      <c r="H24" s="66">
        <f>IF(LEN(I24)&gt;0,VLOOKUP(I24,'1. Lists'!$AK:$AL,2,FALSE),"")</f>
        <v>9</v>
      </c>
      <c r="I24" s="124" t="s">
        <v>159</v>
      </c>
      <c r="J24" s="66">
        <f>IF(LEN(K24)&gt;0,VLOOKUP(K24,'1. Lists'!AA:AC,3,FALSE),"")</f>
        <v>5</v>
      </c>
      <c r="K24" s="215" t="s">
        <v>42</v>
      </c>
      <c r="L24" s="216">
        <f>IF(LEN(M24)&gt;0,VLOOKUP(M24,'1. Lists'!AH:AI,2,FALSE),"")</f>
        <v>5</v>
      </c>
      <c r="M24" s="207" t="s">
        <v>390</v>
      </c>
      <c r="N24" s="66">
        <f>IF(LEN(O24)&gt;0,VLOOKUP(O24,'1. Lists'!AE:AF,2,FALSE),"")</f>
        <v>11</v>
      </c>
      <c r="O24" s="208" t="s">
        <v>355</v>
      </c>
      <c r="P24" s="70">
        <f>IF(LEN(Q24)&gt;0,VLOOKUP(Q24,'1. Lists'!AS:AT,2,FALSE),"")</f>
        <v>2</v>
      </c>
      <c r="Q24" s="217" t="s">
        <v>382</v>
      </c>
      <c r="R24" s="73">
        <f>IF(LEN(S24)&gt;0,VLOOKUP(S24,'1. Lists'!W:Y,3,FALSE),"")</f>
        <v>1</v>
      </c>
      <c r="S24" s="121" t="s">
        <v>169</v>
      </c>
      <c r="T24" s="210" t="s">
        <v>742</v>
      </c>
      <c r="U24" s="210" t="s">
        <v>743</v>
      </c>
      <c r="V24" s="204"/>
      <c r="W24" s="66">
        <f>IF(LEN(X24)&gt;0,VLOOKUP(X24,'1. Lists'!$BD$3:$BF$50,3,FALSE),"")</f>
        <v>5</v>
      </c>
      <c r="X24" s="127" t="s">
        <v>340</v>
      </c>
      <c r="Y24" s="204" t="s">
        <v>68</v>
      </c>
      <c r="Z24" s="204">
        <v>1</v>
      </c>
      <c r="AA24" s="209" t="s">
        <v>362</v>
      </c>
      <c r="AB24" s="141">
        <v>4</v>
      </c>
      <c r="AC24" s="123" t="s">
        <v>744</v>
      </c>
      <c r="AD24" s="123"/>
      <c r="AE24" s="123"/>
      <c r="AF24" s="123"/>
      <c r="AG24" s="123"/>
      <c r="AH24" s="123"/>
      <c r="AI24" s="135" t="s">
        <v>460</v>
      </c>
      <c r="AJ24" s="80" t="str">
        <f>IF(LEN(AK24)&gt;0,VLOOKUP(AK24,'1. Lists'!$BQ:$BR,2,FALSE),"")</f>
        <v>ACC</v>
      </c>
      <c r="AK24" s="211" t="s">
        <v>14</v>
      </c>
      <c r="AL24" s="80">
        <f>IF(LEN(AM24)&gt;0,VLOOKUP(AM24,'1. Lists'!$BU$3:$BW$8,3,FALSE),"")</f>
        <v>3</v>
      </c>
      <c r="AM24" s="212" t="s">
        <v>83</v>
      </c>
      <c r="AN24" s="139">
        <v>4</v>
      </c>
      <c r="AO24" s="82">
        <f t="shared" si="0"/>
        <v>4</v>
      </c>
      <c r="AQ24" s="141">
        <v>1</v>
      </c>
      <c r="AR24" s="141">
        <v>1</v>
      </c>
      <c r="AS24" s="141">
        <v>1</v>
      </c>
      <c r="AT24" s="141">
        <v>1</v>
      </c>
      <c r="AV24" s="123"/>
      <c r="AW24" s="123"/>
      <c r="AX24" s="123"/>
      <c r="AY24" s="123"/>
      <c r="AZ24" s="123"/>
      <c r="BB24" s="213">
        <f t="shared" si="1"/>
        <v>1</v>
      </c>
      <c r="BC24" s="213">
        <f t="shared" si="2"/>
        <v>4</v>
      </c>
      <c r="BD24" s="213">
        <f t="shared" si="3"/>
        <v>1</v>
      </c>
      <c r="BE24" s="213">
        <v>0</v>
      </c>
      <c r="BF24" s="213"/>
      <c r="BG24" s="213">
        <f t="shared" si="4"/>
        <v>1</v>
      </c>
      <c r="BH24" s="213">
        <f t="shared" si="5"/>
        <v>1</v>
      </c>
      <c r="BI24" s="213">
        <f t="shared" si="6"/>
        <v>1</v>
      </c>
    </row>
    <row r="25" spans="1:61" ht="60" x14ac:dyDescent="0.25">
      <c r="A25" s="92">
        <f t="shared" si="7"/>
        <v>23</v>
      </c>
      <c r="B25" s="66">
        <f>IF(LEN(C25)&gt;0,VLOOKUP(C25,'1. Lists'!A:B,2,FALSE),"")</f>
        <v>1</v>
      </c>
      <c r="C25" s="214" t="s">
        <v>358</v>
      </c>
      <c r="D25" s="204" t="s">
        <v>661</v>
      </c>
      <c r="E25" s="204"/>
      <c r="F25" s="66">
        <f>IF(LEN(G25)&gt;0,VLOOKUP(G25,'1. Lists'!$T:$U,2,FALSE),"")</f>
        <v>63</v>
      </c>
      <c r="G25" s="208" t="s">
        <v>441</v>
      </c>
      <c r="H25" s="66">
        <f>IF(LEN(I25)&gt;0,VLOOKUP(I25,'1. Lists'!$AK:$AL,2,FALSE),"")</f>
        <v>9</v>
      </c>
      <c r="I25" s="124" t="s">
        <v>159</v>
      </c>
      <c r="J25" s="66">
        <f>IF(LEN(K25)&gt;0,VLOOKUP(K25,'1. Lists'!AA:AC,3,FALSE),"")</f>
        <v>5</v>
      </c>
      <c r="K25" s="215" t="s">
        <v>42</v>
      </c>
      <c r="L25" s="216">
        <f>IF(LEN(M25)&gt;0,VLOOKUP(M25,'1. Lists'!AH:AI,2,FALSE),"")</f>
        <v>19</v>
      </c>
      <c r="M25" s="207" t="s">
        <v>404</v>
      </c>
      <c r="N25" s="66">
        <f>IF(LEN(O25)&gt;0,VLOOKUP(O25,'1. Lists'!AE:AF,2,FALSE),"")</f>
        <v>11</v>
      </c>
      <c r="O25" s="208" t="s">
        <v>355</v>
      </c>
      <c r="P25" s="70">
        <f>IF(LEN(Q25)&gt;0,VLOOKUP(Q25,'1. Lists'!AS:AT,2,FALSE),"")</f>
        <v>2</v>
      </c>
      <c r="Q25" s="217" t="s">
        <v>382</v>
      </c>
      <c r="R25" s="73">
        <f>IF(LEN(S25)&gt;0,VLOOKUP(S25,'1. Lists'!W:Y,3,FALSE),"")</f>
        <v>1</v>
      </c>
      <c r="S25" s="121" t="s">
        <v>169</v>
      </c>
      <c r="T25" s="210" t="s">
        <v>745</v>
      </c>
      <c r="U25" s="210" t="s">
        <v>451</v>
      </c>
      <c r="V25" s="204"/>
      <c r="W25" s="66">
        <f>IF(LEN(X25)&gt;0,VLOOKUP(X25,'1. Lists'!$BD$3:$BF$50,3,FALSE),"")</f>
        <v>5</v>
      </c>
      <c r="X25" s="127" t="s">
        <v>340</v>
      </c>
      <c r="Y25" s="204" t="s">
        <v>68</v>
      </c>
      <c r="Z25" s="204">
        <v>1</v>
      </c>
      <c r="AA25" s="209" t="s">
        <v>362</v>
      </c>
      <c r="AB25" s="141">
        <v>4</v>
      </c>
      <c r="AC25" s="123" t="s">
        <v>459</v>
      </c>
      <c r="AD25" s="123"/>
      <c r="AE25" s="123"/>
      <c r="AF25" s="123"/>
      <c r="AG25" s="123"/>
      <c r="AH25" s="123"/>
      <c r="AI25" s="135" t="s">
        <v>460</v>
      </c>
      <c r="AJ25" s="80" t="str">
        <f>IF(LEN(AK25)&gt;0,VLOOKUP(AK25,'1. Lists'!$BQ:$BR,2,FALSE),"")</f>
        <v>ACC</v>
      </c>
      <c r="AK25" s="211" t="s">
        <v>14</v>
      </c>
      <c r="AL25" s="80">
        <f>IF(LEN(AM25)&gt;0,VLOOKUP(AM25,'1. Lists'!$BU$3:$BW$8,3,FALSE),"")</f>
        <v>3</v>
      </c>
      <c r="AM25" s="212" t="s">
        <v>83</v>
      </c>
      <c r="AN25" s="139">
        <v>4</v>
      </c>
      <c r="AO25" s="82">
        <f t="shared" si="0"/>
        <v>4</v>
      </c>
      <c r="AQ25" s="141">
        <v>1</v>
      </c>
      <c r="AR25" s="141">
        <v>1</v>
      </c>
      <c r="AS25" s="141">
        <v>1</v>
      </c>
      <c r="AT25" s="141">
        <v>1</v>
      </c>
      <c r="AV25" s="123"/>
      <c r="AW25" s="123"/>
      <c r="AX25" s="123"/>
      <c r="AY25" s="123"/>
      <c r="AZ25" s="123"/>
      <c r="BB25" s="213">
        <f t="shared" si="1"/>
        <v>1</v>
      </c>
      <c r="BC25" s="213">
        <f t="shared" si="2"/>
        <v>4</v>
      </c>
      <c r="BD25" s="213">
        <f t="shared" si="3"/>
        <v>1</v>
      </c>
      <c r="BE25" s="213">
        <v>0</v>
      </c>
      <c r="BF25" s="213"/>
      <c r="BG25" s="213">
        <f t="shared" si="4"/>
        <v>1</v>
      </c>
      <c r="BH25" s="213">
        <f t="shared" si="5"/>
        <v>1</v>
      </c>
      <c r="BI25" s="213">
        <f t="shared" si="6"/>
        <v>1</v>
      </c>
    </row>
    <row r="26" spans="1:61" ht="90" x14ac:dyDescent="0.25">
      <c r="A26" s="92">
        <f t="shared" si="7"/>
        <v>24</v>
      </c>
      <c r="B26" s="66">
        <f>IF(LEN(C26)&gt;0,VLOOKUP(C26,'1. Lists'!A:B,2,FALSE),"")</f>
        <v>1</v>
      </c>
      <c r="C26" s="214" t="s">
        <v>358</v>
      </c>
      <c r="D26" s="204" t="s">
        <v>661</v>
      </c>
      <c r="E26" s="204"/>
      <c r="F26" s="66">
        <f>IF(LEN(G26)&gt;0,VLOOKUP(G26,'1. Lists'!$T:$U,2,FALSE),"")</f>
        <v>109</v>
      </c>
      <c r="G26" s="208" t="s">
        <v>442</v>
      </c>
      <c r="H26" s="66">
        <f>IF(LEN(I26)&gt;0,VLOOKUP(I26,'1. Lists'!$AK:$AL,2,FALSE),"")</f>
        <v>4</v>
      </c>
      <c r="I26" s="124" t="s">
        <v>154</v>
      </c>
      <c r="J26" s="66">
        <f>IF(LEN(K26)&gt;0,VLOOKUP(K26,'1. Lists'!AA:AC,3,FALSE),"")</f>
        <v>3</v>
      </c>
      <c r="K26" s="215" t="s">
        <v>40</v>
      </c>
      <c r="L26" s="216">
        <f>IF(LEN(M26)&gt;0,VLOOKUP(M26,'1. Lists'!AH:AI,2,FALSE),"")</f>
        <v>8</v>
      </c>
      <c r="M26" s="207" t="s">
        <v>393</v>
      </c>
      <c r="N26" s="66">
        <f>IF(LEN(O26)&gt;0,VLOOKUP(O26,'1. Lists'!AE:AF,2,FALSE),"")</f>
        <v>2</v>
      </c>
      <c r="O26" s="208" t="s">
        <v>346</v>
      </c>
      <c r="P26" s="70">
        <f>IF(LEN(Q26)&gt;0,VLOOKUP(Q26,'1. Lists'!AS:AT,2,FALSE),"")</f>
        <v>4</v>
      </c>
      <c r="Q26" s="217" t="s">
        <v>384</v>
      </c>
      <c r="R26" s="73">
        <f>IF(LEN(S26)&gt;0,VLOOKUP(S26,'1. Lists'!W:Y,3,FALSE),"")</f>
        <v>1</v>
      </c>
      <c r="S26" s="121" t="s">
        <v>169</v>
      </c>
      <c r="T26" s="210" t="s">
        <v>746</v>
      </c>
      <c r="U26" s="210" t="s">
        <v>747</v>
      </c>
      <c r="V26" s="204"/>
      <c r="W26" s="66">
        <f>IF(LEN(X26)&gt;0,VLOOKUP(X26,'1. Lists'!$BD$3:$BF$50,3,FALSE),"")</f>
        <v>1</v>
      </c>
      <c r="X26" s="127" t="s">
        <v>336</v>
      </c>
      <c r="Y26" s="204" t="s">
        <v>68</v>
      </c>
      <c r="Z26" s="204">
        <v>1</v>
      </c>
      <c r="AA26" s="209" t="s">
        <v>362</v>
      </c>
      <c r="AB26" s="141">
        <v>8</v>
      </c>
      <c r="AC26" s="123" t="s">
        <v>748</v>
      </c>
      <c r="AD26" s="123"/>
      <c r="AE26" s="123"/>
      <c r="AF26" s="123"/>
      <c r="AG26" s="123"/>
      <c r="AH26" s="123"/>
      <c r="AI26" s="135" t="s">
        <v>460</v>
      </c>
      <c r="AJ26" s="80" t="str">
        <f>IF(LEN(AK26)&gt;0,VLOOKUP(AK26,'1. Lists'!$BQ:$BR,2,FALSE),"")</f>
        <v>ACC</v>
      </c>
      <c r="AK26" s="211" t="s">
        <v>14</v>
      </c>
      <c r="AL26" s="80">
        <f>IF(LEN(AM26)&gt;0,VLOOKUP(AM26,'1. Lists'!$BU$3:$BW$8,3,FALSE),"")</f>
        <v>3</v>
      </c>
      <c r="AM26" s="212" t="s">
        <v>83</v>
      </c>
      <c r="AN26" s="139">
        <v>8</v>
      </c>
      <c r="AO26" s="82">
        <f t="shared" si="0"/>
        <v>8</v>
      </c>
      <c r="AQ26" s="141">
        <v>0</v>
      </c>
      <c r="AR26" s="141">
        <v>4</v>
      </c>
      <c r="AS26" s="141">
        <v>0</v>
      </c>
      <c r="AT26" s="141">
        <v>4</v>
      </c>
      <c r="AV26" s="123"/>
      <c r="AW26" s="123"/>
      <c r="AX26" s="123"/>
      <c r="AY26" s="123"/>
      <c r="AZ26" s="123"/>
      <c r="BB26" s="213">
        <f t="shared" si="1"/>
        <v>4</v>
      </c>
      <c r="BC26" s="213">
        <f t="shared" si="2"/>
        <v>8</v>
      </c>
      <c r="BD26" s="213">
        <f t="shared" si="3"/>
        <v>4</v>
      </c>
      <c r="BE26" s="213">
        <v>0</v>
      </c>
      <c r="BF26" s="213"/>
      <c r="BG26" s="213">
        <f t="shared" si="4"/>
        <v>4</v>
      </c>
      <c r="BH26" s="213">
        <f t="shared" si="5"/>
        <v>4</v>
      </c>
      <c r="BI26" s="213">
        <f t="shared" si="6"/>
        <v>4</v>
      </c>
    </row>
    <row r="27" spans="1:61" ht="90" x14ac:dyDescent="0.25">
      <c r="A27" s="92">
        <f t="shared" si="7"/>
        <v>25</v>
      </c>
      <c r="B27" s="66">
        <f>IF(LEN(C27)&gt;0,VLOOKUP(C27,'1. Lists'!A:B,2,FALSE),"")</f>
        <v>1</v>
      </c>
      <c r="C27" s="214" t="s">
        <v>358</v>
      </c>
      <c r="D27" s="204" t="s">
        <v>661</v>
      </c>
      <c r="E27" s="204"/>
      <c r="F27" s="66">
        <f>IF(LEN(G27)&gt;0,VLOOKUP(G27,'1. Lists'!$T:$U,2,FALSE),"")</f>
        <v>101</v>
      </c>
      <c r="G27" s="208" t="s">
        <v>443</v>
      </c>
      <c r="H27" s="66">
        <f>IF(LEN(I27)&gt;0,VLOOKUP(I27,'1. Lists'!$AK:$AL,2,FALSE),"")</f>
        <v>4</v>
      </c>
      <c r="I27" s="124" t="s">
        <v>154</v>
      </c>
      <c r="J27" s="66">
        <f>IF(LEN(K27)&gt;0,VLOOKUP(K27,'1. Lists'!AA:AC,3,FALSE),"")</f>
        <v>3</v>
      </c>
      <c r="K27" s="215" t="s">
        <v>40</v>
      </c>
      <c r="L27" s="216">
        <f>IF(LEN(M27)&gt;0,VLOOKUP(M27,'1. Lists'!AH:AI,2,FALSE),"")</f>
        <v>8</v>
      </c>
      <c r="M27" s="207" t="s">
        <v>393</v>
      </c>
      <c r="N27" s="66">
        <f>IF(LEN(O27)&gt;0,VLOOKUP(O27,'1. Lists'!AE:AF,2,FALSE),"")</f>
        <v>2</v>
      </c>
      <c r="O27" s="208" t="s">
        <v>346</v>
      </c>
      <c r="P27" s="70">
        <f>IF(LEN(Q27)&gt;0,VLOOKUP(Q27,'1. Lists'!AS:AT,2,FALSE),"")</f>
        <v>4</v>
      </c>
      <c r="Q27" s="217" t="s">
        <v>384</v>
      </c>
      <c r="R27" s="73">
        <f>IF(LEN(S27)&gt;0,VLOOKUP(S27,'1. Lists'!W:Y,3,FALSE),"")</f>
        <v>1</v>
      </c>
      <c r="S27" s="121" t="s">
        <v>169</v>
      </c>
      <c r="T27" s="210" t="s">
        <v>749</v>
      </c>
      <c r="U27" s="210" t="s">
        <v>750</v>
      </c>
      <c r="V27" s="204"/>
      <c r="W27" s="66">
        <f>IF(LEN(X27)&gt;0,VLOOKUP(X27,'1. Lists'!$BD$3:$BF$50,3,FALSE),"")</f>
        <v>1</v>
      </c>
      <c r="X27" s="127" t="s">
        <v>336</v>
      </c>
      <c r="Y27" s="204" t="s">
        <v>68</v>
      </c>
      <c r="Z27" s="204">
        <v>1</v>
      </c>
      <c r="AA27" s="209" t="s">
        <v>362</v>
      </c>
      <c r="AB27" s="141">
        <v>24</v>
      </c>
      <c r="AC27" s="123" t="s">
        <v>751</v>
      </c>
      <c r="AD27" s="123"/>
      <c r="AE27" s="123"/>
      <c r="AF27" s="123"/>
      <c r="AG27" s="123"/>
      <c r="AH27" s="123"/>
      <c r="AI27" s="135" t="s">
        <v>460</v>
      </c>
      <c r="AJ27" s="80" t="str">
        <f>IF(LEN(AK27)&gt;0,VLOOKUP(AK27,'1. Lists'!$BQ:$BR,2,FALSE),"")</f>
        <v>ACC</v>
      </c>
      <c r="AK27" s="211" t="s">
        <v>14</v>
      </c>
      <c r="AL27" s="80">
        <f>IF(LEN(AM27)&gt;0,VLOOKUP(AM27,'1. Lists'!$BU$3:$BW$8,3,FALSE),"")</f>
        <v>3</v>
      </c>
      <c r="AM27" s="212" t="s">
        <v>83</v>
      </c>
      <c r="AN27" s="139">
        <v>24</v>
      </c>
      <c r="AO27" s="82">
        <f t="shared" si="0"/>
        <v>24</v>
      </c>
      <c r="AQ27" s="141">
        <v>6</v>
      </c>
      <c r="AR27" s="141">
        <v>6</v>
      </c>
      <c r="AS27" s="141">
        <v>6</v>
      </c>
      <c r="AT27" s="141">
        <v>6</v>
      </c>
      <c r="AV27" s="123"/>
      <c r="AW27" s="123"/>
      <c r="AX27" s="123"/>
      <c r="AY27" s="123"/>
      <c r="AZ27" s="123"/>
      <c r="BB27" s="213">
        <f t="shared" si="1"/>
        <v>6</v>
      </c>
      <c r="BC27" s="213">
        <f t="shared" si="2"/>
        <v>24</v>
      </c>
      <c r="BD27" s="213">
        <f t="shared" si="3"/>
        <v>6</v>
      </c>
      <c r="BE27" s="213">
        <v>0</v>
      </c>
      <c r="BF27" s="213"/>
      <c r="BG27" s="213">
        <f t="shared" si="4"/>
        <v>6</v>
      </c>
      <c r="BH27" s="213">
        <f t="shared" si="5"/>
        <v>6</v>
      </c>
      <c r="BI27" s="213">
        <f t="shared" si="6"/>
        <v>6</v>
      </c>
    </row>
    <row r="28" spans="1:61" ht="90" x14ac:dyDescent="0.25">
      <c r="A28" s="92">
        <f t="shared" si="7"/>
        <v>26</v>
      </c>
      <c r="B28" s="66">
        <f>IF(LEN(C28)&gt;0,VLOOKUP(C28,'1. Lists'!A:B,2,FALSE),"")</f>
        <v>1</v>
      </c>
      <c r="C28" s="214" t="s">
        <v>358</v>
      </c>
      <c r="D28" s="204" t="s">
        <v>661</v>
      </c>
      <c r="E28" s="204"/>
      <c r="F28" s="66">
        <f>IF(LEN(G28)&gt;0,VLOOKUP(G28,'1. Lists'!$T:$U,2,FALSE),"")</f>
        <v>101</v>
      </c>
      <c r="G28" s="208" t="s">
        <v>443</v>
      </c>
      <c r="H28" s="66">
        <f>IF(LEN(I28)&gt;0,VLOOKUP(I28,'1. Lists'!$AK:$AL,2,FALSE),"")</f>
        <v>4</v>
      </c>
      <c r="I28" s="124" t="s">
        <v>154</v>
      </c>
      <c r="J28" s="66">
        <f>IF(LEN(K28)&gt;0,VLOOKUP(K28,'1. Lists'!AA:AC,3,FALSE),"")</f>
        <v>3</v>
      </c>
      <c r="K28" s="206" t="s">
        <v>40</v>
      </c>
      <c r="L28" s="216">
        <f>IF(LEN(M28)&gt;0,VLOOKUP(M28,'1. Lists'!AH:AI,2,FALSE),"")</f>
        <v>8</v>
      </c>
      <c r="M28" s="207" t="s">
        <v>393</v>
      </c>
      <c r="N28" s="66">
        <f>IF(LEN(O28)&gt;0,VLOOKUP(O28,'1. Lists'!AE:AF,2,FALSE),"")</f>
        <v>2</v>
      </c>
      <c r="O28" s="208" t="s">
        <v>346</v>
      </c>
      <c r="P28" s="70">
        <f>IF(LEN(Q28)&gt;0,VLOOKUP(Q28,'1. Lists'!AS:AT,2,FALSE),"")</f>
        <v>4</v>
      </c>
      <c r="Q28" s="217" t="s">
        <v>384</v>
      </c>
      <c r="R28" s="73">
        <f>IF(LEN(S28)&gt;0,VLOOKUP(S28,'1. Lists'!W:Y,3,FALSE),"")</f>
        <v>1</v>
      </c>
      <c r="S28" s="121" t="s">
        <v>169</v>
      </c>
      <c r="T28" s="210" t="s">
        <v>752</v>
      </c>
      <c r="U28" s="210" t="s">
        <v>753</v>
      </c>
      <c r="V28" s="204"/>
      <c r="W28" s="66">
        <f>IF(LEN(X28)&gt;0,VLOOKUP(X28,'1. Lists'!$BD$3:$BF$50,3,FALSE),"")</f>
        <v>1</v>
      </c>
      <c r="X28" s="127" t="s">
        <v>336</v>
      </c>
      <c r="Y28" s="204" t="s">
        <v>68</v>
      </c>
      <c r="Z28" s="204">
        <v>1</v>
      </c>
      <c r="AA28" s="217" t="s">
        <v>362</v>
      </c>
      <c r="AB28" s="141">
        <v>12</v>
      </c>
      <c r="AC28" s="123" t="s">
        <v>754</v>
      </c>
      <c r="AD28" s="123"/>
      <c r="AE28" s="123"/>
      <c r="AF28" s="123"/>
      <c r="AG28" s="123"/>
      <c r="AH28" s="123"/>
      <c r="AI28" s="135" t="s">
        <v>460</v>
      </c>
      <c r="AJ28" s="80" t="str">
        <f>IF(LEN(AK28)&gt;0,VLOOKUP(AK28,'1. Lists'!$BQ:$BR,2,FALSE),"")</f>
        <v>ACC</v>
      </c>
      <c r="AK28" s="211" t="s">
        <v>14</v>
      </c>
      <c r="AL28" s="80">
        <f>IF(LEN(AM28)&gt;0,VLOOKUP(AM28,'1. Lists'!$BU$3:$BW$8,3,FALSE),"")</f>
        <v>3</v>
      </c>
      <c r="AM28" s="212" t="s">
        <v>83</v>
      </c>
      <c r="AN28" s="139">
        <v>12</v>
      </c>
      <c r="AO28" s="82">
        <f t="shared" si="0"/>
        <v>12</v>
      </c>
      <c r="AQ28" s="141">
        <v>3</v>
      </c>
      <c r="AR28" s="141">
        <v>3</v>
      </c>
      <c r="AS28" s="141">
        <v>3</v>
      </c>
      <c r="AT28" s="141">
        <v>3</v>
      </c>
      <c r="AV28" s="123"/>
      <c r="AW28" s="123"/>
      <c r="AX28" s="123"/>
      <c r="AY28" s="123"/>
      <c r="AZ28" s="123"/>
      <c r="BB28" s="213">
        <f t="shared" si="1"/>
        <v>3</v>
      </c>
      <c r="BC28" s="213">
        <f t="shared" si="2"/>
        <v>12</v>
      </c>
      <c r="BD28" s="213">
        <f t="shared" si="3"/>
        <v>3</v>
      </c>
      <c r="BE28" s="213">
        <v>0</v>
      </c>
      <c r="BF28" s="213"/>
      <c r="BG28" s="213">
        <f t="shared" si="4"/>
        <v>3</v>
      </c>
      <c r="BH28" s="213">
        <f t="shared" si="5"/>
        <v>3</v>
      </c>
      <c r="BI28" s="213">
        <f t="shared" si="6"/>
        <v>3</v>
      </c>
    </row>
    <row r="29" spans="1:61" ht="60" x14ac:dyDescent="0.25">
      <c r="A29" s="92">
        <f t="shared" si="7"/>
        <v>27</v>
      </c>
      <c r="B29" s="66">
        <f>IF(LEN(C29)&gt;0,VLOOKUP(C29,'1. Lists'!A:B,2,FALSE),"")</f>
        <v>1</v>
      </c>
      <c r="C29" s="214" t="s">
        <v>358</v>
      </c>
      <c r="D29" s="204" t="s">
        <v>661</v>
      </c>
      <c r="E29" s="204"/>
      <c r="F29" s="66">
        <f>IF(LEN(G29)&gt;0,VLOOKUP(G29,'1. Lists'!$T:$U,2,FALSE),"")</f>
        <v>109</v>
      </c>
      <c r="G29" s="208" t="s">
        <v>442</v>
      </c>
      <c r="H29" s="66">
        <f>IF(LEN(I29)&gt;0,VLOOKUP(I29,'1. Lists'!$AK:$AL,2,FALSE),"")</f>
        <v>9</v>
      </c>
      <c r="I29" s="124" t="s">
        <v>159</v>
      </c>
      <c r="J29" s="66">
        <f>IF(LEN(K29)&gt;0,VLOOKUP(K29,'1. Lists'!AA:AC,3,FALSE),"")</f>
        <v>5</v>
      </c>
      <c r="K29" s="206" t="s">
        <v>42</v>
      </c>
      <c r="L29" s="216">
        <f>IF(LEN(M29)&gt;0,VLOOKUP(M29,'1. Lists'!AH:AI,2,FALSE),"")</f>
        <v>7</v>
      </c>
      <c r="M29" s="207" t="s">
        <v>392</v>
      </c>
      <c r="N29" s="66">
        <f>IF(LEN(O29)&gt;0,VLOOKUP(O29,'1. Lists'!AE:AF,2,FALSE),"")</f>
        <v>2</v>
      </c>
      <c r="O29" s="208" t="s">
        <v>346</v>
      </c>
      <c r="P29" s="70">
        <f>IF(LEN(Q29)&gt;0,VLOOKUP(Q29,'1. Lists'!AS:AT,2,FALSE),"")</f>
        <v>2</v>
      </c>
      <c r="Q29" s="217" t="s">
        <v>382</v>
      </c>
      <c r="R29" s="73">
        <f>IF(LEN(S29)&gt;0,VLOOKUP(S29,'1. Lists'!W:Y,3,FALSE),"")</f>
        <v>1</v>
      </c>
      <c r="S29" s="121" t="s">
        <v>169</v>
      </c>
      <c r="T29" s="210" t="s">
        <v>755</v>
      </c>
      <c r="U29" s="210" t="s">
        <v>756</v>
      </c>
      <c r="V29" s="204"/>
      <c r="W29" s="66">
        <f>IF(LEN(X29)&gt;0,VLOOKUP(X29,'1. Lists'!$BD$3:$BF$50,3,FALSE),"")</f>
        <v>5</v>
      </c>
      <c r="X29" s="127" t="s">
        <v>340</v>
      </c>
      <c r="Y29" s="204" t="s">
        <v>68</v>
      </c>
      <c r="Z29" s="204">
        <v>1</v>
      </c>
      <c r="AA29" s="217" t="s">
        <v>362</v>
      </c>
      <c r="AB29" s="141">
        <v>1</v>
      </c>
      <c r="AC29" s="123" t="s">
        <v>721</v>
      </c>
      <c r="AD29" s="123"/>
      <c r="AE29" s="123"/>
      <c r="AF29" s="123"/>
      <c r="AG29" s="123"/>
      <c r="AH29" s="123"/>
      <c r="AI29" s="135" t="s">
        <v>460</v>
      </c>
      <c r="AJ29" s="80" t="str">
        <f>IF(LEN(AK29)&gt;0,VLOOKUP(AK29,'1. Lists'!$BQ:$BR,2,FALSE),"")</f>
        <v>CO</v>
      </c>
      <c r="AK29" s="211" t="s">
        <v>12</v>
      </c>
      <c r="AL29" s="80">
        <f>IF(LEN(AM29)&gt;0,VLOOKUP(AM29,'1. Lists'!$BU$3:$BW$8,3,FALSE),"")</f>
        <v>3</v>
      </c>
      <c r="AM29" s="212" t="s">
        <v>83</v>
      </c>
      <c r="AN29" s="139">
        <v>1</v>
      </c>
      <c r="AO29" s="82">
        <f t="shared" si="0"/>
        <v>1</v>
      </c>
      <c r="AQ29" s="141">
        <v>0</v>
      </c>
      <c r="AR29" s="141">
        <v>0</v>
      </c>
      <c r="AS29" s="141">
        <v>1</v>
      </c>
      <c r="AT29" s="141">
        <v>0</v>
      </c>
      <c r="AV29" s="123"/>
      <c r="AW29" s="123"/>
      <c r="AX29" s="123"/>
      <c r="AY29" s="123"/>
      <c r="AZ29" s="123"/>
      <c r="BB29" s="213">
        <f t="shared" si="1"/>
        <v>1</v>
      </c>
      <c r="BC29" s="213">
        <f t="shared" si="2"/>
        <v>1</v>
      </c>
      <c r="BD29" s="213">
        <f t="shared" si="3"/>
        <v>1</v>
      </c>
      <c r="BE29" s="213">
        <v>0</v>
      </c>
      <c r="BF29" s="213"/>
      <c r="BG29" s="213">
        <f t="shared" si="4"/>
        <v>1</v>
      </c>
      <c r="BH29" s="213">
        <f t="shared" si="5"/>
        <v>1</v>
      </c>
      <c r="BI29" s="213">
        <f t="shared" si="6"/>
        <v>1</v>
      </c>
    </row>
    <row r="30" spans="1:61" ht="60" x14ac:dyDescent="0.25">
      <c r="A30" s="92">
        <f t="shared" si="7"/>
        <v>28</v>
      </c>
      <c r="B30" s="66">
        <f>IF(LEN(C30)&gt;0,VLOOKUP(C30,'1. Lists'!A:B,2,FALSE),"")</f>
        <v>1</v>
      </c>
      <c r="C30" s="214" t="s">
        <v>358</v>
      </c>
      <c r="D30" s="204" t="s">
        <v>661</v>
      </c>
      <c r="E30" s="204"/>
      <c r="F30" s="66">
        <f>IF(LEN(G30)&gt;0,VLOOKUP(G30,'1. Lists'!$T:$U,2,FALSE),"")</f>
        <v>69</v>
      </c>
      <c r="G30" s="208" t="s">
        <v>438</v>
      </c>
      <c r="H30" s="66">
        <f>IF(LEN(I30)&gt;0,VLOOKUP(I30,'1. Lists'!$AK:$AL,2,FALSE),"")</f>
        <v>5</v>
      </c>
      <c r="I30" s="124" t="s">
        <v>155</v>
      </c>
      <c r="J30" s="66">
        <f>IF(LEN(K30)&gt;0,VLOOKUP(K30,'1. Lists'!AA:AC,3,FALSE),"")</f>
        <v>1</v>
      </c>
      <c r="K30" s="215" t="s">
        <v>38</v>
      </c>
      <c r="L30" s="216">
        <f>IF(LEN(M30)&gt;0,VLOOKUP(M30,'1. Lists'!AH:AI,2,FALSE),"")</f>
        <v>13</v>
      </c>
      <c r="M30" s="207" t="s">
        <v>398</v>
      </c>
      <c r="N30" s="66">
        <f>IF(LEN(O30)&gt;0,VLOOKUP(O30,'1. Lists'!AE:AF,2,FALSE),"")</f>
        <v>11</v>
      </c>
      <c r="O30" s="208" t="s">
        <v>355</v>
      </c>
      <c r="P30" s="70">
        <f>IF(LEN(Q30)&gt;0,VLOOKUP(Q30,'1. Lists'!AS:AT,2,FALSE),"")</f>
        <v>2</v>
      </c>
      <c r="Q30" s="217" t="s">
        <v>382</v>
      </c>
      <c r="R30" s="73">
        <f>IF(LEN(S30)&gt;0,VLOOKUP(S30,'1. Lists'!W:Y,3,FALSE),"")</f>
        <v>1</v>
      </c>
      <c r="S30" s="121" t="s">
        <v>169</v>
      </c>
      <c r="T30" s="210" t="s">
        <v>757</v>
      </c>
      <c r="U30" s="210" t="s">
        <v>758</v>
      </c>
      <c r="V30" s="204"/>
      <c r="W30" s="66">
        <f>IF(LEN(X30)&gt;0,VLOOKUP(X30,'1. Lists'!$BD$3:$BF$50,3,FALSE),"")</f>
        <v>5</v>
      </c>
      <c r="X30" s="127" t="s">
        <v>340</v>
      </c>
      <c r="Y30" s="204" t="s">
        <v>68</v>
      </c>
      <c r="Z30" s="204">
        <v>1</v>
      </c>
      <c r="AA30" s="217" t="s">
        <v>362</v>
      </c>
      <c r="AB30" s="223" t="s">
        <v>461</v>
      </c>
      <c r="AC30" s="123" t="s">
        <v>721</v>
      </c>
      <c r="AD30" s="123"/>
      <c r="AE30" s="123"/>
      <c r="AF30" s="123"/>
      <c r="AG30" s="123"/>
      <c r="AH30" s="123"/>
      <c r="AI30" s="135" t="s">
        <v>460</v>
      </c>
      <c r="AJ30" s="80" t="str">
        <f>IF(LEN(AK30)&gt;0,VLOOKUP(AK30,'1. Lists'!$BQ:$BR,2,FALSE),"")</f>
        <v>CO</v>
      </c>
      <c r="AK30" s="211" t="s">
        <v>12</v>
      </c>
      <c r="AL30" s="80">
        <f>IF(LEN(AM30)&gt;0,VLOOKUP(AM30,'1. Lists'!$BU$3:$BW$8,3,FALSE),"")</f>
        <v>3</v>
      </c>
      <c r="AM30" s="212" t="s">
        <v>83</v>
      </c>
      <c r="AN30" s="139">
        <v>1</v>
      </c>
      <c r="AO30" s="82">
        <f t="shared" si="0"/>
        <v>1</v>
      </c>
      <c r="AQ30" s="141">
        <v>0</v>
      </c>
      <c r="AR30" s="141">
        <v>1</v>
      </c>
      <c r="AS30" s="141">
        <v>0</v>
      </c>
      <c r="AT30" s="141">
        <v>0</v>
      </c>
      <c r="AV30" s="123"/>
      <c r="AW30" s="123"/>
      <c r="AX30" s="123"/>
      <c r="AY30" s="123"/>
      <c r="AZ30" s="123"/>
      <c r="BB30" s="213">
        <f t="shared" si="1"/>
        <v>1</v>
      </c>
      <c r="BC30" s="213">
        <f t="shared" si="2"/>
        <v>1</v>
      </c>
      <c r="BD30" s="213">
        <f t="shared" si="3"/>
        <v>1</v>
      </c>
      <c r="BE30" s="213">
        <v>0</v>
      </c>
      <c r="BF30" s="213"/>
      <c r="BG30" s="213">
        <f t="shared" si="4"/>
        <v>1</v>
      </c>
      <c r="BH30" s="213">
        <f t="shared" si="5"/>
        <v>1</v>
      </c>
      <c r="BI30" s="213">
        <f t="shared" si="6"/>
        <v>1</v>
      </c>
    </row>
    <row r="31" spans="1:61" ht="90" x14ac:dyDescent="0.25">
      <c r="A31" s="92">
        <f t="shared" si="7"/>
        <v>29</v>
      </c>
      <c r="B31" s="66">
        <f>IF(LEN(C31)&gt;0,VLOOKUP(C31,'1. Lists'!A:B,2,FALSE),"")</f>
        <v>4</v>
      </c>
      <c r="C31" s="214" t="s">
        <v>361</v>
      </c>
      <c r="D31" s="204" t="s">
        <v>661</v>
      </c>
      <c r="E31" s="204"/>
      <c r="F31" s="66">
        <f>IF(LEN(G31)&gt;0,VLOOKUP(G31,'1. Lists'!$T:$U,2,FALSE),"")</f>
        <v>112</v>
      </c>
      <c r="G31" s="208" t="s">
        <v>432</v>
      </c>
      <c r="H31" s="66">
        <f>IF(LEN(I31)&gt;0,VLOOKUP(I31,'1. Lists'!$AK:$AL,2,FALSE),"")</f>
        <v>4</v>
      </c>
      <c r="I31" s="124" t="s">
        <v>154</v>
      </c>
      <c r="J31" s="66">
        <f>IF(LEN(K31)&gt;0,VLOOKUP(K31,'1. Lists'!AA:AC,3,FALSE),"")</f>
        <v>3</v>
      </c>
      <c r="K31" s="215" t="s">
        <v>40</v>
      </c>
      <c r="L31" s="216">
        <f>IF(LEN(M31)&gt;0,VLOOKUP(M31,'1. Lists'!AH:AI,2,FALSE),"")</f>
        <v>16</v>
      </c>
      <c r="M31" s="207" t="s">
        <v>401</v>
      </c>
      <c r="N31" s="66">
        <f>IF(LEN(O31)&gt;0,VLOOKUP(O31,'1. Lists'!AE:AF,2,FALSE),"")</f>
        <v>2</v>
      </c>
      <c r="O31" s="208" t="s">
        <v>346</v>
      </c>
      <c r="P31" s="70">
        <f>IF(LEN(Q31)&gt;0,VLOOKUP(Q31,'1. Lists'!AS:AT,2,FALSE),"")</f>
        <v>4</v>
      </c>
      <c r="Q31" s="217" t="s">
        <v>384</v>
      </c>
      <c r="R31" s="73">
        <f>IF(LEN(S31)&gt;0,VLOOKUP(S31,'1. Lists'!W:Y,3,FALSE),"")</f>
        <v>1</v>
      </c>
      <c r="S31" s="121" t="s">
        <v>169</v>
      </c>
      <c r="T31" s="210" t="s">
        <v>696</v>
      </c>
      <c r="U31" s="210" t="s">
        <v>697</v>
      </c>
      <c r="V31" s="204"/>
      <c r="W31" s="66">
        <f>IF(LEN(X31)&gt;0,VLOOKUP(X31,'1. Lists'!$BD$3:$BF$50,3,FALSE),"")</f>
        <v>1</v>
      </c>
      <c r="X31" s="127" t="s">
        <v>336</v>
      </c>
      <c r="Y31" s="204" t="s">
        <v>68</v>
      </c>
      <c r="Z31" s="204">
        <v>1</v>
      </c>
      <c r="AA31" s="209" t="s">
        <v>379</v>
      </c>
      <c r="AB31" s="141">
        <v>1200</v>
      </c>
      <c r="AC31" s="123" t="s">
        <v>831</v>
      </c>
      <c r="AD31" s="123"/>
      <c r="AE31" s="123"/>
      <c r="AF31" s="123"/>
      <c r="AG31" s="123"/>
      <c r="AH31" s="123"/>
      <c r="AI31" s="135" t="s">
        <v>460</v>
      </c>
      <c r="AJ31" s="80" t="str">
        <f>IF(LEN(AK31)&gt;0,VLOOKUP(AK31,'1. Lists'!$BQ:$BR,2,FALSE),"")</f>
        <v>ACC</v>
      </c>
      <c r="AK31" s="211" t="s">
        <v>14</v>
      </c>
      <c r="AL31" s="80">
        <f>IF(LEN(AM31)&gt;0,VLOOKUP(AM31,'1. Lists'!$BU$3:$BW$8,3,FALSE),"")</f>
        <v>3</v>
      </c>
      <c r="AM31" s="212" t="s">
        <v>83</v>
      </c>
      <c r="AN31" s="218">
        <v>1200</v>
      </c>
      <c r="AO31" s="82">
        <f t="shared" si="0"/>
        <v>1200</v>
      </c>
      <c r="AQ31" s="141">
        <v>0</v>
      </c>
      <c r="AR31" s="141">
        <v>0</v>
      </c>
      <c r="AS31" s="141">
        <v>0</v>
      </c>
      <c r="AT31" s="219">
        <v>1200</v>
      </c>
      <c r="AV31" s="123"/>
      <c r="AW31" s="123"/>
      <c r="AX31" s="123"/>
      <c r="AY31" s="123"/>
      <c r="AZ31" s="123"/>
      <c r="BB31" s="213">
        <f t="shared" si="1"/>
        <v>1200</v>
      </c>
      <c r="BC31" s="213">
        <f t="shared" si="2"/>
        <v>1200</v>
      </c>
      <c r="BD31" s="213">
        <f t="shared" si="3"/>
        <v>1200</v>
      </c>
      <c r="BE31" s="213">
        <v>0</v>
      </c>
      <c r="BF31" s="213"/>
      <c r="BG31" s="213">
        <f t="shared" si="4"/>
        <v>1200</v>
      </c>
      <c r="BH31" s="213">
        <f t="shared" si="5"/>
        <v>1200</v>
      </c>
      <c r="BI31" s="213">
        <f t="shared" si="6"/>
        <v>1200</v>
      </c>
    </row>
    <row r="32" spans="1:61" ht="60" x14ac:dyDescent="0.25">
      <c r="A32" s="92">
        <f t="shared" si="7"/>
        <v>30</v>
      </c>
      <c r="B32" s="66">
        <f>IF(LEN(C32)&gt;0,VLOOKUP(C32,'1. Lists'!A:B,2,FALSE),"")</f>
        <v>4</v>
      </c>
      <c r="C32" s="214" t="s">
        <v>361</v>
      </c>
      <c r="D32" s="204" t="s">
        <v>661</v>
      </c>
      <c r="E32" s="204"/>
      <c r="F32" s="66">
        <f>IF(LEN(G32)&gt;0,VLOOKUP(G32,'1. Lists'!$T:$U,2,FALSE),"")</f>
        <v>131</v>
      </c>
      <c r="G32" s="208" t="s">
        <v>436</v>
      </c>
      <c r="H32" s="66">
        <f>IF(LEN(I32)&gt;0,VLOOKUP(I32,'1. Lists'!$AK:$AL,2,FALSE),"")</f>
        <v>6</v>
      </c>
      <c r="I32" s="124" t="s">
        <v>156</v>
      </c>
      <c r="J32" s="66">
        <f>IF(LEN(K32)&gt;0,VLOOKUP(K32,'1. Lists'!AA:AC,3,FALSE),"")</f>
        <v>2</v>
      </c>
      <c r="K32" s="215" t="s">
        <v>39</v>
      </c>
      <c r="L32" s="216">
        <f>IF(LEN(M32)&gt;0,VLOOKUP(M32,'1. Lists'!AH:AI,2,FALSE),"")</f>
        <v>25</v>
      </c>
      <c r="M32" s="207" t="s">
        <v>410</v>
      </c>
      <c r="N32" s="66">
        <f>IF(LEN(O32)&gt;0,VLOOKUP(O32,'1. Lists'!AE:AF,2,FALSE),"")</f>
        <v>2</v>
      </c>
      <c r="O32" s="208" t="s">
        <v>346</v>
      </c>
      <c r="P32" s="70">
        <f>IF(LEN(Q32)&gt;0,VLOOKUP(Q32,'1. Lists'!AS:AT,2,FALSE),"")</f>
        <v>5</v>
      </c>
      <c r="Q32" s="217" t="s">
        <v>385</v>
      </c>
      <c r="R32" s="73">
        <f>IF(LEN(S32)&gt;0,VLOOKUP(S32,'1. Lists'!W:Y,3,FALSE),"")</f>
        <v>1</v>
      </c>
      <c r="S32" s="121" t="s">
        <v>169</v>
      </c>
      <c r="T32" s="210" t="s">
        <v>698</v>
      </c>
      <c r="U32" s="210" t="s">
        <v>699</v>
      </c>
      <c r="V32" s="204"/>
      <c r="W32" s="66">
        <f>IF(LEN(X32)&gt;0,VLOOKUP(X32,'1. Lists'!$BD$3:$BF$50,3,FALSE),"")</f>
        <v>3</v>
      </c>
      <c r="X32" s="127" t="s">
        <v>338</v>
      </c>
      <c r="Y32" s="204" t="s">
        <v>68</v>
      </c>
      <c r="Z32" s="204">
        <v>1</v>
      </c>
      <c r="AA32" s="217" t="s">
        <v>379</v>
      </c>
      <c r="AB32" s="141">
        <v>95</v>
      </c>
      <c r="AC32" s="123" t="s">
        <v>798</v>
      </c>
      <c r="AD32" s="123"/>
      <c r="AE32" s="123"/>
      <c r="AF32" s="123"/>
      <c r="AG32" s="123"/>
      <c r="AH32" s="123"/>
      <c r="AI32" s="135" t="s">
        <v>460</v>
      </c>
      <c r="AJ32" s="80" t="str">
        <f>IF(LEN(AK32)&gt;0,VLOOKUP(AK32,'1. Lists'!$BQ:$BR,2,FALSE),"")</f>
        <v>LAST</v>
      </c>
      <c r="AK32" s="211" t="s">
        <v>190</v>
      </c>
      <c r="AL32" s="80">
        <f>IF(LEN(AM32)&gt;0,VLOOKUP(AM32,'1. Lists'!$BU$3:$BW$8,3,FALSE),"")</f>
        <v>2</v>
      </c>
      <c r="AM32" s="212" t="s">
        <v>82</v>
      </c>
      <c r="AN32" s="218">
        <v>95</v>
      </c>
      <c r="AO32" s="82">
        <f t="shared" si="0"/>
        <v>95</v>
      </c>
      <c r="AQ32" s="141">
        <v>20</v>
      </c>
      <c r="AR32" s="141">
        <v>48</v>
      </c>
      <c r="AS32" s="141">
        <v>65</v>
      </c>
      <c r="AT32" s="141">
        <v>95</v>
      </c>
      <c r="AV32" s="123"/>
      <c r="AW32" s="123"/>
      <c r="AX32" s="123"/>
      <c r="AY32" s="123"/>
      <c r="AZ32" s="123"/>
      <c r="BB32" s="213">
        <f t="shared" si="1"/>
        <v>95</v>
      </c>
      <c r="BC32" s="213">
        <f t="shared" si="2"/>
        <v>228</v>
      </c>
      <c r="BD32" s="213">
        <f t="shared" si="3"/>
        <v>57</v>
      </c>
      <c r="BE32" s="213">
        <v>0</v>
      </c>
      <c r="BF32" s="213"/>
      <c r="BG32" s="213">
        <f t="shared" si="4"/>
        <v>57</v>
      </c>
      <c r="BH32" s="213">
        <f t="shared" si="5"/>
        <v>95</v>
      </c>
      <c r="BI32" s="213">
        <f t="shared" si="6"/>
        <v>95</v>
      </c>
    </row>
    <row r="33" spans="1:61" ht="45" x14ac:dyDescent="0.25">
      <c r="A33" s="92">
        <f t="shared" si="7"/>
        <v>31</v>
      </c>
      <c r="B33" s="66">
        <f>IF(LEN(C33)&gt;0,VLOOKUP(C33,'1. Lists'!A:B,2,FALSE),"")</f>
        <v>4</v>
      </c>
      <c r="C33" s="214" t="s">
        <v>361</v>
      </c>
      <c r="D33" s="204" t="s">
        <v>661</v>
      </c>
      <c r="E33" s="204"/>
      <c r="F33" s="66">
        <f>IF(LEN(G33)&gt;0,VLOOKUP(G33,'1. Lists'!$T:$U,2,FALSE),"")</f>
        <v>131</v>
      </c>
      <c r="G33" s="208" t="s">
        <v>436</v>
      </c>
      <c r="H33" s="66">
        <f>IF(LEN(I33)&gt;0,VLOOKUP(I33,'1. Lists'!$AK:$AL,2,FALSE),"")</f>
        <v>6</v>
      </c>
      <c r="I33" s="124" t="s">
        <v>156</v>
      </c>
      <c r="J33" s="66">
        <f>IF(LEN(K33)&gt;0,VLOOKUP(K33,'1. Lists'!AA:AC,3,FALSE),"")</f>
        <v>2</v>
      </c>
      <c r="K33" s="215" t="s">
        <v>39</v>
      </c>
      <c r="L33" s="216">
        <f>IF(LEN(M33)&gt;0,VLOOKUP(M33,'1. Lists'!AH:AI,2,FALSE),"")</f>
        <v>25</v>
      </c>
      <c r="M33" s="207" t="s">
        <v>410</v>
      </c>
      <c r="N33" s="66">
        <f>IF(LEN(O33)&gt;0,VLOOKUP(O33,'1. Lists'!AE:AF,2,FALSE),"")</f>
        <v>2</v>
      </c>
      <c r="O33" s="208" t="s">
        <v>346</v>
      </c>
      <c r="P33" s="70">
        <f>IF(LEN(Q33)&gt;0,VLOOKUP(Q33,'1. Lists'!AS:AT,2,FALSE),"")</f>
        <v>5</v>
      </c>
      <c r="Q33" s="217" t="s">
        <v>385</v>
      </c>
      <c r="R33" s="73">
        <f>IF(LEN(S33)&gt;0,VLOOKUP(S33,'1. Lists'!W:Y,3,FALSE),"")</f>
        <v>1</v>
      </c>
      <c r="S33" s="121" t="s">
        <v>169</v>
      </c>
      <c r="T33" s="210" t="s">
        <v>700</v>
      </c>
      <c r="U33" s="210" t="s">
        <v>701</v>
      </c>
      <c r="V33" s="204"/>
      <c r="W33" s="66">
        <f>IF(LEN(X33)&gt;0,VLOOKUP(X33,'1. Lists'!$BD$3:$BF$50,3,FALSE),"")</f>
        <v>3</v>
      </c>
      <c r="X33" s="127" t="s">
        <v>338</v>
      </c>
      <c r="Y33" s="204" t="s">
        <v>68</v>
      </c>
      <c r="Z33" s="204">
        <v>1</v>
      </c>
      <c r="AA33" s="217" t="s">
        <v>379</v>
      </c>
      <c r="AB33" s="141">
        <v>16000</v>
      </c>
      <c r="AC33" s="123" t="s">
        <v>702</v>
      </c>
      <c r="AD33" s="123"/>
      <c r="AE33" s="123"/>
      <c r="AF33" s="123"/>
      <c r="AG33" s="123"/>
      <c r="AH33" s="123"/>
      <c r="AI33" s="135" t="s">
        <v>460</v>
      </c>
      <c r="AJ33" s="80" t="str">
        <f>IF(LEN(AK33)&gt;0,VLOOKUP(AK33,'1. Lists'!$BQ:$BR,2,FALSE),"")</f>
        <v>CO</v>
      </c>
      <c r="AK33" s="211" t="s">
        <v>12</v>
      </c>
      <c r="AL33" s="80">
        <f>IF(LEN(AM33)&gt;0,VLOOKUP(AM33,'1. Lists'!$BU$3:$BW$8,3,FALSE),"")</f>
        <v>3</v>
      </c>
      <c r="AM33" s="212" t="s">
        <v>83</v>
      </c>
      <c r="AN33" s="218">
        <v>16000</v>
      </c>
      <c r="AO33" s="82">
        <f t="shared" si="0"/>
        <v>16000</v>
      </c>
      <c r="AQ33" s="219">
        <v>3000</v>
      </c>
      <c r="AR33" s="219">
        <v>7000</v>
      </c>
      <c r="AS33" s="219">
        <v>12000</v>
      </c>
      <c r="AT33" s="219">
        <v>16000</v>
      </c>
      <c r="AV33" s="123"/>
      <c r="AW33" s="123"/>
      <c r="AX33" s="123"/>
      <c r="AY33" s="123"/>
      <c r="AZ33" s="123"/>
      <c r="BB33" s="213">
        <f t="shared" si="1"/>
        <v>16000</v>
      </c>
      <c r="BC33" s="213">
        <f t="shared" si="2"/>
        <v>38000</v>
      </c>
      <c r="BD33" s="213">
        <f t="shared" si="3"/>
        <v>9500</v>
      </c>
      <c r="BE33" s="213">
        <v>0</v>
      </c>
      <c r="BF33" s="213"/>
      <c r="BG33" s="213">
        <f t="shared" si="4"/>
        <v>9500</v>
      </c>
      <c r="BH33" s="213">
        <f t="shared" si="5"/>
        <v>16000</v>
      </c>
      <c r="BI33" s="213">
        <f t="shared" si="6"/>
        <v>16000</v>
      </c>
    </row>
    <row r="34" spans="1:61" ht="45" x14ac:dyDescent="0.25">
      <c r="A34" s="92">
        <f t="shared" si="7"/>
        <v>32</v>
      </c>
      <c r="B34" s="66">
        <f>IF(LEN(C34)&gt;0,VLOOKUP(C34,'1. Lists'!A:B,2,FALSE),"")</f>
        <v>4</v>
      </c>
      <c r="C34" s="214" t="s">
        <v>361</v>
      </c>
      <c r="D34" s="204" t="s">
        <v>661</v>
      </c>
      <c r="E34" s="204"/>
      <c r="F34" s="66">
        <f>IF(LEN(G34)&gt;0,VLOOKUP(G34,'1. Lists'!$T:$U,2,FALSE),"")</f>
        <v>131</v>
      </c>
      <c r="G34" s="208" t="s">
        <v>436</v>
      </c>
      <c r="H34" s="66">
        <f>IF(LEN(I34)&gt;0,VLOOKUP(I34,'1. Lists'!$AK:$AL,2,FALSE),"")</f>
        <v>6</v>
      </c>
      <c r="I34" s="124" t="s">
        <v>156</v>
      </c>
      <c r="J34" s="66">
        <f>IF(LEN(K34)&gt;0,VLOOKUP(K34,'1. Lists'!AA:AC,3,FALSE),"")</f>
        <v>2</v>
      </c>
      <c r="K34" s="215" t="s">
        <v>39</v>
      </c>
      <c r="L34" s="216">
        <f>IF(LEN(M34)&gt;0,VLOOKUP(M34,'1. Lists'!AH:AI,2,FALSE),"")</f>
        <v>25</v>
      </c>
      <c r="M34" s="207" t="s">
        <v>410</v>
      </c>
      <c r="N34" s="66">
        <f>IF(LEN(O34)&gt;0,VLOOKUP(O34,'1. Lists'!AE:AF,2,FALSE),"")</f>
        <v>2</v>
      </c>
      <c r="O34" s="208" t="s">
        <v>346</v>
      </c>
      <c r="P34" s="70">
        <f>IF(LEN(Q34)&gt;0,VLOOKUP(Q34,'1. Lists'!AS:AT,2,FALSE),"")</f>
        <v>5</v>
      </c>
      <c r="Q34" s="217" t="s">
        <v>385</v>
      </c>
      <c r="R34" s="73">
        <f>IF(LEN(S34)&gt;0,VLOOKUP(S34,'1. Lists'!W:Y,3,FALSE),"")</f>
        <v>1</v>
      </c>
      <c r="S34" s="121" t="s">
        <v>169</v>
      </c>
      <c r="T34" s="210" t="s">
        <v>703</v>
      </c>
      <c r="U34" s="210" t="s">
        <v>704</v>
      </c>
      <c r="V34" s="204"/>
      <c r="W34" s="66">
        <f>IF(LEN(X34)&gt;0,VLOOKUP(X34,'1. Lists'!$BD$3:$BF$50,3,FALSE),"")</f>
        <v>3</v>
      </c>
      <c r="X34" s="127" t="s">
        <v>338</v>
      </c>
      <c r="Y34" s="204" t="s">
        <v>68</v>
      </c>
      <c r="Z34" s="204">
        <v>1</v>
      </c>
      <c r="AA34" s="217" t="s">
        <v>379</v>
      </c>
      <c r="AB34" s="141">
        <v>26.88</v>
      </c>
      <c r="AC34" s="123" t="s">
        <v>705</v>
      </c>
      <c r="AD34" s="123"/>
      <c r="AE34" s="123"/>
      <c r="AF34" s="123"/>
      <c r="AG34" s="123"/>
      <c r="AH34" s="123"/>
      <c r="AI34" s="135" t="s">
        <v>460</v>
      </c>
      <c r="AJ34" s="80" t="str">
        <f>IF(LEN(AK34)&gt;0,VLOOKUP(AK34,'1. Lists'!$BQ:$BR,2,FALSE),"")</f>
        <v>CO</v>
      </c>
      <c r="AK34" s="211" t="s">
        <v>12</v>
      </c>
      <c r="AL34" s="80">
        <f>IF(LEN(AM34)&gt;0,VLOOKUP(AM34,'1. Lists'!$BU$3:$BW$8,3,FALSE),"")</f>
        <v>3</v>
      </c>
      <c r="AM34" s="212" t="s">
        <v>83</v>
      </c>
      <c r="AN34" s="139">
        <v>38.840000000000003</v>
      </c>
      <c r="AO34" s="82">
        <f t="shared" si="0"/>
        <v>38.840000000000003</v>
      </c>
      <c r="AQ34" s="141">
        <v>0</v>
      </c>
      <c r="AR34" s="141">
        <v>0</v>
      </c>
      <c r="AS34" s="141">
        <v>0</v>
      </c>
      <c r="AT34" s="141">
        <v>38.840000000000003</v>
      </c>
      <c r="AV34" s="123"/>
      <c r="AW34" s="123"/>
      <c r="AX34" s="123"/>
      <c r="AY34" s="123"/>
      <c r="AZ34" s="123"/>
      <c r="BB34" s="213">
        <f t="shared" si="1"/>
        <v>38.840000000000003</v>
      </c>
      <c r="BC34" s="213">
        <f t="shared" si="2"/>
        <v>38.840000000000003</v>
      </c>
      <c r="BD34" s="213">
        <f t="shared" si="3"/>
        <v>38.840000000000003</v>
      </c>
      <c r="BE34" s="213">
        <v>0</v>
      </c>
      <c r="BF34" s="213"/>
      <c r="BG34" s="213">
        <f t="shared" si="4"/>
        <v>38.840000000000003</v>
      </c>
      <c r="BH34" s="213">
        <f t="shared" si="5"/>
        <v>38.840000000000003</v>
      </c>
      <c r="BI34" s="213">
        <f t="shared" si="6"/>
        <v>38.840000000000003</v>
      </c>
    </row>
    <row r="35" spans="1:61" ht="45" x14ac:dyDescent="0.25">
      <c r="A35" s="92">
        <f t="shared" si="7"/>
        <v>33</v>
      </c>
      <c r="B35" s="66">
        <f>IF(LEN(C35)&gt;0,VLOOKUP(C35,'1. Lists'!A:B,2,FALSE),"")</f>
        <v>4</v>
      </c>
      <c r="C35" s="214" t="s">
        <v>361</v>
      </c>
      <c r="D35" s="204" t="s">
        <v>661</v>
      </c>
      <c r="E35" s="204"/>
      <c r="F35" s="66">
        <f>IF(LEN(G35)&gt;0,VLOOKUP(G35,'1. Lists'!$T:$U,2,FALSE),"")</f>
        <v>131</v>
      </c>
      <c r="G35" s="208" t="s">
        <v>436</v>
      </c>
      <c r="H35" s="66">
        <f>IF(LEN(I35)&gt;0,VLOOKUP(I35,'1. Lists'!$AK:$AL,2,FALSE),"")</f>
        <v>6</v>
      </c>
      <c r="I35" s="124" t="s">
        <v>156</v>
      </c>
      <c r="J35" s="66">
        <f>IF(LEN(K35)&gt;0,VLOOKUP(K35,'1. Lists'!AA:AC,3,FALSE),"")</f>
        <v>2</v>
      </c>
      <c r="K35" s="215" t="s">
        <v>39</v>
      </c>
      <c r="L35" s="216">
        <f>IF(LEN(M35)&gt;0,VLOOKUP(M35,'1. Lists'!AH:AI,2,FALSE),"")</f>
        <v>25</v>
      </c>
      <c r="M35" s="207" t="s">
        <v>410</v>
      </c>
      <c r="N35" s="66">
        <f>IF(LEN(O35)&gt;0,VLOOKUP(O35,'1. Lists'!AE:AF,2,FALSE),"")</f>
        <v>2</v>
      </c>
      <c r="O35" s="208" t="s">
        <v>346</v>
      </c>
      <c r="P35" s="70">
        <f>IF(LEN(Q35)&gt;0,VLOOKUP(Q35,'1. Lists'!AS:AT,2,FALSE),"")</f>
        <v>5</v>
      </c>
      <c r="Q35" s="217" t="s">
        <v>385</v>
      </c>
      <c r="R35" s="73">
        <f>IF(LEN(S35)&gt;0,VLOOKUP(S35,'1. Lists'!W:Y,3,FALSE),"")</f>
        <v>1</v>
      </c>
      <c r="S35" s="121" t="s">
        <v>169</v>
      </c>
      <c r="T35" s="210" t="s">
        <v>706</v>
      </c>
      <c r="U35" s="210" t="s">
        <v>707</v>
      </c>
      <c r="V35" s="204"/>
      <c r="W35" s="66">
        <f>IF(LEN(X35)&gt;0,VLOOKUP(X35,'1. Lists'!$BD$3:$BF$50,3,FALSE),"")</f>
        <v>3</v>
      </c>
      <c r="X35" s="127" t="s">
        <v>338</v>
      </c>
      <c r="Y35" s="204" t="s">
        <v>68</v>
      </c>
      <c r="Z35" s="204">
        <v>1</v>
      </c>
      <c r="AA35" s="217" t="s">
        <v>379</v>
      </c>
      <c r="AB35" s="141">
        <v>6.4480000000000004</v>
      </c>
      <c r="AC35" s="123" t="s">
        <v>705</v>
      </c>
      <c r="AD35" s="123"/>
      <c r="AE35" s="123"/>
      <c r="AF35" s="123"/>
      <c r="AG35" s="123"/>
      <c r="AH35" s="123"/>
      <c r="AI35" s="135" t="s">
        <v>460</v>
      </c>
      <c r="AJ35" s="80" t="str">
        <f>IF(LEN(AK35)&gt;0,VLOOKUP(AK35,'1. Lists'!$BQ:$BR,2,FALSE),"")</f>
        <v>CO</v>
      </c>
      <c r="AK35" s="211" t="s">
        <v>12</v>
      </c>
      <c r="AL35" s="80">
        <f>IF(LEN(AM35)&gt;0,VLOOKUP(AM35,'1. Lists'!$BU$3:$BW$8,3,FALSE),"")</f>
        <v>3</v>
      </c>
      <c r="AM35" s="212" t="s">
        <v>83</v>
      </c>
      <c r="AN35" s="139">
        <v>9.2799999999999994</v>
      </c>
      <c r="AO35" s="82">
        <f t="shared" si="0"/>
        <v>9.2799999999999994</v>
      </c>
      <c r="AQ35" s="141">
        <v>0</v>
      </c>
      <c r="AR35" s="141">
        <v>0</v>
      </c>
      <c r="AS35" s="141">
        <v>0</v>
      </c>
      <c r="AT35" s="141">
        <v>9.2799999999999994</v>
      </c>
      <c r="AV35" s="123"/>
      <c r="AW35" s="123"/>
      <c r="AX35" s="123"/>
      <c r="AY35" s="123"/>
      <c r="AZ35" s="123"/>
      <c r="BB35" s="213">
        <f t="shared" si="1"/>
        <v>9.2799999999999994</v>
      </c>
      <c r="BC35" s="213">
        <f t="shared" si="2"/>
        <v>9.2799999999999994</v>
      </c>
      <c r="BD35" s="213">
        <f t="shared" si="3"/>
        <v>9.2799999999999994</v>
      </c>
      <c r="BE35" s="213">
        <v>0</v>
      </c>
      <c r="BF35" s="213"/>
      <c r="BG35" s="213">
        <f t="shared" si="4"/>
        <v>9.2799999999999994</v>
      </c>
      <c r="BH35" s="213">
        <f t="shared" si="5"/>
        <v>9.2799999999999994</v>
      </c>
      <c r="BI35" s="213">
        <f t="shared" si="6"/>
        <v>9.2799999999999994</v>
      </c>
    </row>
    <row r="36" spans="1:61" ht="45" x14ac:dyDescent="0.25">
      <c r="A36" s="92">
        <f t="shared" si="7"/>
        <v>34</v>
      </c>
      <c r="B36" s="66">
        <f>IF(LEN(C36)&gt;0,VLOOKUP(C36,'1. Lists'!A:B,2,FALSE),"")</f>
        <v>4</v>
      </c>
      <c r="C36" s="214" t="s">
        <v>361</v>
      </c>
      <c r="D36" s="204" t="s">
        <v>661</v>
      </c>
      <c r="E36" s="204"/>
      <c r="F36" s="66">
        <f>IF(LEN(G36)&gt;0,VLOOKUP(G36,'1. Lists'!$T:$U,2,FALSE),"")</f>
        <v>131</v>
      </c>
      <c r="G36" s="208" t="s">
        <v>436</v>
      </c>
      <c r="H36" s="66">
        <f>IF(LEN(I36)&gt;0,VLOOKUP(I36,'1. Lists'!$AK:$AL,2,FALSE),"")</f>
        <v>6</v>
      </c>
      <c r="I36" s="124" t="s">
        <v>156</v>
      </c>
      <c r="J36" s="66">
        <f>IF(LEN(K36)&gt;0,VLOOKUP(K36,'1. Lists'!AA:AC,3,FALSE),"")</f>
        <v>2</v>
      </c>
      <c r="K36" s="215" t="s">
        <v>39</v>
      </c>
      <c r="L36" s="216">
        <f>IF(LEN(M36)&gt;0,VLOOKUP(M36,'1. Lists'!AH:AI,2,FALSE),"")</f>
        <v>25</v>
      </c>
      <c r="M36" s="207" t="s">
        <v>410</v>
      </c>
      <c r="N36" s="66">
        <f>IF(LEN(O36)&gt;0,VLOOKUP(O36,'1. Lists'!AE:AF,2,FALSE),"")</f>
        <v>2</v>
      </c>
      <c r="O36" s="208" t="s">
        <v>346</v>
      </c>
      <c r="P36" s="70">
        <f>IF(LEN(Q36)&gt;0,VLOOKUP(Q36,'1. Lists'!AS:AT,2,FALSE),"")</f>
        <v>5</v>
      </c>
      <c r="Q36" s="217" t="s">
        <v>385</v>
      </c>
      <c r="R36" s="73">
        <f>IF(LEN(S36)&gt;0,VLOOKUP(S36,'1. Lists'!W:Y,3,FALSE),"")</f>
        <v>1</v>
      </c>
      <c r="S36" s="121" t="s">
        <v>169</v>
      </c>
      <c r="T36" s="210" t="s">
        <v>708</v>
      </c>
      <c r="U36" s="210" t="s">
        <v>709</v>
      </c>
      <c r="V36" s="204"/>
      <c r="W36" s="66">
        <f>IF(LEN(X36)&gt;0,VLOOKUP(X36,'1. Lists'!$BD$3:$BF$50,3,FALSE),"")</f>
        <v>3</v>
      </c>
      <c r="X36" s="127" t="s">
        <v>338</v>
      </c>
      <c r="Y36" s="204" t="s">
        <v>68</v>
      </c>
      <c r="Z36" s="204">
        <v>1</v>
      </c>
      <c r="AA36" s="209" t="s">
        <v>379</v>
      </c>
      <c r="AB36" s="141">
        <v>27.24</v>
      </c>
      <c r="AC36" s="123" t="s">
        <v>705</v>
      </c>
      <c r="AD36" s="123"/>
      <c r="AE36" s="123"/>
      <c r="AF36" s="123"/>
      <c r="AG36" s="123"/>
      <c r="AH36" s="123"/>
      <c r="AI36" s="135" t="s">
        <v>460</v>
      </c>
      <c r="AJ36" s="80" t="str">
        <f>IF(LEN(AK36)&gt;0,VLOOKUP(AK36,'1. Lists'!$BQ:$BR,2,FALSE),"")</f>
        <v>CO</v>
      </c>
      <c r="AK36" s="211" t="s">
        <v>12</v>
      </c>
      <c r="AL36" s="80">
        <f>IF(LEN(AM36)&gt;0,VLOOKUP(AM36,'1. Lists'!$BU$3:$BW$8,3,FALSE),"")</f>
        <v>3</v>
      </c>
      <c r="AM36" s="212" t="s">
        <v>83</v>
      </c>
      <c r="AN36" s="139">
        <v>25.24</v>
      </c>
      <c r="AO36" s="82">
        <f t="shared" si="0"/>
        <v>25.24</v>
      </c>
      <c r="AQ36" s="141">
        <v>0</v>
      </c>
      <c r="AR36" s="141">
        <v>0</v>
      </c>
      <c r="AS36" s="141">
        <v>0</v>
      </c>
      <c r="AT36" s="141">
        <v>25.24</v>
      </c>
      <c r="AV36" s="123"/>
      <c r="AW36" s="123"/>
      <c r="AX36" s="123"/>
      <c r="AY36" s="123"/>
      <c r="AZ36" s="123"/>
      <c r="BB36" s="213">
        <f t="shared" si="1"/>
        <v>25.24</v>
      </c>
      <c r="BC36" s="213">
        <f t="shared" si="2"/>
        <v>25.24</v>
      </c>
      <c r="BD36" s="213">
        <f t="shared" si="3"/>
        <v>25.24</v>
      </c>
      <c r="BE36" s="213">
        <v>0</v>
      </c>
      <c r="BF36" s="213"/>
      <c r="BG36" s="213">
        <f t="shared" si="4"/>
        <v>25.24</v>
      </c>
      <c r="BH36" s="213">
        <f t="shared" si="5"/>
        <v>25.24</v>
      </c>
      <c r="BI36" s="213">
        <f t="shared" si="6"/>
        <v>25.24</v>
      </c>
    </row>
    <row r="37" spans="1:61" ht="75" x14ac:dyDescent="0.25">
      <c r="A37" s="92">
        <f t="shared" si="7"/>
        <v>35</v>
      </c>
      <c r="B37" s="66">
        <f>IF(LEN(C37)&gt;0,VLOOKUP(C37,'1. Lists'!A:B,2,FALSE),"")</f>
        <v>4</v>
      </c>
      <c r="C37" s="214" t="s">
        <v>361</v>
      </c>
      <c r="D37" s="204" t="s">
        <v>661</v>
      </c>
      <c r="E37" s="204"/>
      <c r="F37" s="66">
        <f>IF(LEN(G37)&gt;0,VLOOKUP(G37,'1. Lists'!$T:$U,2,FALSE),"")</f>
        <v>162</v>
      </c>
      <c r="G37" s="208" t="s">
        <v>710</v>
      </c>
      <c r="H37" s="66">
        <f>IF(LEN(I37)&gt;0,VLOOKUP(I37,'1. Lists'!$AK:$AL,2,FALSE),"")</f>
        <v>10</v>
      </c>
      <c r="I37" s="124" t="s">
        <v>160</v>
      </c>
      <c r="J37" s="66">
        <f>IF(LEN(K37)&gt;0,VLOOKUP(K37,'1. Lists'!AA:AC,3,FALSE),"")</f>
        <v>2</v>
      </c>
      <c r="K37" s="215" t="s">
        <v>39</v>
      </c>
      <c r="L37" s="216">
        <f>IF(LEN(M37)&gt;0,VLOOKUP(M37,'1. Lists'!AH:AI,2,FALSE),"")</f>
        <v>12</v>
      </c>
      <c r="M37" s="207" t="s">
        <v>397</v>
      </c>
      <c r="N37" s="66">
        <f>IF(LEN(O37)&gt;0,VLOOKUP(O37,'1. Lists'!AE:AF,2,FALSE),"")</f>
        <v>3</v>
      </c>
      <c r="O37" s="208" t="s">
        <v>347</v>
      </c>
      <c r="P37" s="70">
        <f>IF(LEN(Q37)&gt;0,VLOOKUP(Q37,'1. Lists'!AS:AT,2,FALSE),"")</f>
        <v>5</v>
      </c>
      <c r="Q37" s="217" t="s">
        <v>385</v>
      </c>
      <c r="R37" s="73">
        <f>IF(LEN(S37)&gt;0,VLOOKUP(S37,'1. Lists'!W:Y,3,FALSE),"")</f>
        <v>1</v>
      </c>
      <c r="S37" s="121" t="s">
        <v>169</v>
      </c>
      <c r="T37" s="210" t="s">
        <v>711</v>
      </c>
      <c r="U37" s="210" t="s">
        <v>712</v>
      </c>
      <c r="V37" s="204"/>
      <c r="W37" s="66">
        <f>IF(LEN(X37)&gt;0,VLOOKUP(X37,'1. Lists'!$BD$3:$BF$50,3,FALSE),"")</f>
        <v>3</v>
      </c>
      <c r="X37" s="127" t="s">
        <v>338</v>
      </c>
      <c r="Y37" s="204" t="s">
        <v>68</v>
      </c>
      <c r="Z37" s="204">
        <v>1</v>
      </c>
      <c r="AA37" s="209" t="s">
        <v>379</v>
      </c>
      <c r="AB37" s="141">
        <v>100</v>
      </c>
      <c r="AC37" s="123" t="s">
        <v>713</v>
      </c>
      <c r="AD37" s="123"/>
      <c r="AE37" s="123"/>
      <c r="AF37" s="123"/>
      <c r="AG37" s="123"/>
      <c r="AH37" s="123"/>
      <c r="AI37" s="135" t="s">
        <v>460</v>
      </c>
      <c r="AJ37" s="80" t="str">
        <f>IF(LEN(AK37)&gt;0,VLOOKUP(AK37,'1. Lists'!$BQ:$BR,2,FALSE),"")</f>
        <v>LAST</v>
      </c>
      <c r="AK37" s="211" t="s">
        <v>190</v>
      </c>
      <c r="AL37" s="80">
        <f>IF(LEN(AM37)&gt;0,VLOOKUP(AM37,'1. Lists'!$BU$3:$BW$8,3,FALSE),"")</f>
        <v>2</v>
      </c>
      <c r="AM37" s="212" t="s">
        <v>82</v>
      </c>
      <c r="AN37" s="139">
        <v>100</v>
      </c>
      <c r="AO37" s="82">
        <f t="shared" si="0"/>
        <v>100</v>
      </c>
      <c r="AQ37" s="141">
        <v>100</v>
      </c>
      <c r="AR37" s="141">
        <v>100</v>
      </c>
      <c r="AS37" s="141">
        <v>100</v>
      </c>
      <c r="AT37" s="141">
        <v>100</v>
      </c>
      <c r="AV37" s="123"/>
      <c r="AW37" s="123"/>
      <c r="AX37" s="123"/>
      <c r="AY37" s="123"/>
      <c r="AZ37" s="123"/>
      <c r="BB37" s="213">
        <f t="shared" si="1"/>
        <v>100</v>
      </c>
      <c r="BC37" s="213">
        <f t="shared" si="2"/>
        <v>400</v>
      </c>
      <c r="BD37" s="213">
        <f t="shared" si="3"/>
        <v>100</v>
      </c>
      <c r="BE37" s="213">
        <v>0</v>
      </c>
      <c r="BF37" s="213"/>
      <c r="BG37" s="213">
        <f t="shared" si="4"/>
        <v>100</v>
      </c>
      <c r="BH37" s="213">
        <f t="shared" si="5"/>
        <v>100</v>
      </c>
      <c r="BI37" s="213">
        <f t="shared" si="6"/>
        <v>100</v>
      </c>
    </row>
    <row r="38" spans="1:61" ht="75" x14ac:dyDescent="0.25">
      <c r="A38" s="92">
        <f t="shared" si="7"/>
        <v>36</v>
      </c>
      <c r="B38" s="66">
        <f>IF(LEN(C38)&gt;0,VLOOKUP(C38,'1. Lists'!A:B,2,FALSE),"")</f>
        <v>4</v>
      </c>
      <c r="C38" s="214" t="s">
        <v>361</v>
      </c>
      <c r="D38" s="204" t="s">
        <v>661</v>
      </c>
      <c r="E38" s="204"/>
      <c r="F38" s="66">
        <f>IF(LEN(G38)&gt;0,VLOOKUP(G38,'1. Lists'!$T:$U,2,FALSE),"")</f>
        <v>163</v>
      </c>
      <c r="G38" s="208" t="s">
        <v>714</v>
      </c>
      <c r="H38" s="66">
        <f>IF(LEN(I38)&gt;0,VLOOKUP(I38,'1. Lists'!$AK:$AL,2,FALSE),"")</f>
        <v>10</v>
      </c>
      <c r="I38" s="124" t="s">
        <v>160</v>
      </c>
      <c r="J38" s="66">
        <f>IF(LEN(K38)&gt;0,VLOOKUP(K38,'1. Lists'!AA:AC,3,FALSE),"")</f>
        <v>2</v>
      </c>
      <c r="K38" s="215" t="s">
        <v>39</v>
      </c>
      <c r="L38" s="216">
        <f>IF(LEN(M38)&gt;0,VLOOKUP(M38,'1. Lists'!AH:AI,2,FALSE),"")</f>
        <v>12</v>
      </c>
      <c r="M38" s="207" t="s">
        <v>397</v>
      </c>
      <c r="N38" s="66">
        <f>IF(LEN(O38)&gt;0,VLOOKUP(O38,'1. Lists'!AE:AF,2,FALSE),"")</f>
        <v>3</v>
      </c>
      <c r="O38" s="208" t="s">
        <v>347</v>
      </c>
      <c r="P38" s="70">
        <f>IF(LEN(Q38)&gt;0,VLOOKUP(Q38,'1. Lists'!AS:AT,2,FALSE),"")</f>
        <v>5</v>
      </c>
      <c r="Q38" s="217" t="s">
        <v>385</v>
      </c>
      <c r="R38" s="73">
        <f>IF(LEN(S38)&gt;0,VLOOKUP(S38,'1. Lists'!W:Y,3,FALSE),"")</f>
        <v>1</v>
      </c>
      <c r="S38" s="121" t="s">
        <v>169</v>
      </c>
      <c r="T38" s="210" t="s">
        <v>715</v>
      </c>
      <c r="U38" s="210" t="s">
        <v>716</v>
      </c>
      <c r="V38" s="204"/>
      <c r="W38" s="66">
        <f>IF(LEN(X38)&gt;0,VLOOKUP(X38,'1. Lists'!$BD$3:$BF$50,3,FALSE),"")</f>
        <v>3</v>
      </c>
      <c r="X38" s="127" t="s">
        <v>338</v>
      </c>
      <c r="Y38" s="204" t="s">
        <v>68</v>
      </c>
      <c r="Z38" s="204">
        <v>1</v>
      </c>
      <c r="AA38" s="209" t="s">
        <v>379</v>
      </c>
      <c r="AB38" s="224">
        <v>7.4999999999999997E-2</v>
      </c>
      <c r="AC38" s="123" t="s">
        <v>456</v>
      </c>
      <c r="AD38" s="123"/>
      <c r="AE38" s="123"/>
      <c r="AF38" s="123"/>
      <c r="AG38" s="123"/>
      <c r="AH38" s="123"/>
      <c r="AI38" s="135" t="s">
        <v>460</v>
      </c>
      <c r="AJ38" s="80" t="str">
        <f>IF(LEN(AK38)&gt;0,VLOOKUP(AK38,'1. Lists'!$BQ:$BR,2,FALSE),"")</f>
        <v>LASTREV</v>
      </c>
      <c r="AK38" s="211" t="s">
        <v>192</v>
      </c>
      <c r="AL38" s="80">
        <f>IF(LEN(AM38)&gt;0,VLOOKUP(AM38,'1. Lists'!$BU$3:$BW$8,3,FALSE),"")</f>
        <v>2</v>
      </c>
      <c r="AM38" s="212" t="s">
        <v>82</v>
      </c>
      <c r="AN38" s="139">
        <v>5</v>
      </c>
      <c r="AO38" s="82">
        <f t="shared" si="0"/>
        <v>5</v>
      </c>
      <c r="AQ38" s="141">
        <v>5</v>
      </c>
      <c r="AR38" s="141">
        <v>5</v>
      </c>
      <c r="AS38" s="141">
        <v>5</v>
      </c>
      <c r="AT38" s="141">
        <v>5</v>
      </c>
      <c r="AV38" s="123"/>
      <c r="AW38" s="123"/>
      <c r="AX38" s="123"/>
      <c r="AY38" s="123"/>
      <c r="AZ38" s="123"/>
      <c r="BB38" s="213">
        <f t="shared" si="1"/>
        <v>5</v>
      </c>
      <c r="BC38" s="213">
        <f t="shared" si="2"/>
        <v>20</v>
      </c>
      <c r="BD38" s="213">
        <f t="shared" si="3"/>
        <v>5</v>
      </c>
      <c r="BE38" s="213">
        <v>0</v>
      </c>
      <c r="BF38" s="213"/>
      <c r="BG38" s="213">
        <f t="shared" si="4"/>
        <v>5</v>
      </c>
      <c r="BH38" s="213">
        <f t="shared" si="5"/>
        <v>5</v>
      </c>
      <c r="BI38" s="213">
        <f t="shared" si="6"/>
        <v>5</v>
      </c>
    </row>
    <row r="39" spans="1:61" ht="90" x14ac:dyDescent="0.25">
      <c r="A39" s="92">
        <f t="shared" si="7"/>
        <v>37</v>
      </c>
      <c r="B39" s="66">
        <f>IF(LEN(C39)&gt;0,VLOOKUP(C39,'1. Lists'!A:B,2,FALSE),"")</f>
        <v>4</v>
      </c>
      <c r="C39" s="214" t="s">
        <v>361</v>
      </c>
      <c r="D39" s="204" t="s">
        <v>661</v>
      </c>
      <c r="E39" s="204"/>
      <c r="F39" s="66">
        <f>IF(LEN(G39)&gt;0,VLOOKUP(G39,'1. Lists'!$T:$U,2,FALSE),"")</f>
        <v>111</v>
      </c>
      <c r="G39" s="208" t="s">
        <v>717</v>
      </c>
      <c r="H39" s="66">
        <f>IF(LEN(I39)&gt;0,VLOOKUP(I39,'1. Lists'!$AK:$AL,2,FALSE),"")</f>
        <v>12</v>
      </c>
      <c r="I39" s="124" t="s">
        <v>162</v>
      </c>
      <c r="J39" s="66">
        <f>IF(LEN(K39)&gt;0,VLOOKUP(K39,'1. Lists'!AA:AC,3,FALSE),"")</f>
        <v>2</v>
      </c>
      <c r="K39" s="215" t="s">
        <v>39</v>
      </c>
      <c r="L39" s="216">
        <f>IF(LEN(M39)&gt;0,VLOOKUP(M39,'1. Lists'!AH:AI,2,FALSE),"")</f>
        <v>21</v>
      </c>
      <c r="M39" s="207" t="s">
        <v>406</v>
      </c>
      <c r="N39" s="66">
        <f>IF(LEN(O39)&gt;0,VLOOKUP(O39,'1. Lists'!AE:AF,2,FALSE),"")</f>
        <v>2</v>
      </c>
      <c r="O39" s="208" t="s">
        <v>346</v>
      </c>
      <c r="P39" s="70">
        <f>IF(LEN(Q39)&gt;0,VLOOKUP(Q39,'1. Lists'!AS:AT,2,FALSE),"")</f>
        <v>4</v>
      </c>
      <c r="Q39" s="217" t="s">
        <v>384</v>
      </c>
      <c r="R39" s="73">
        <f>IF(LEN(S39)&gt;0,VLOOKUP(S39,'1. Lists'!W:Y,3,FALSE),"")</f>
        <v>1</v>
      </c>
      <c r="S39" s="121" t="s">
        <v>169</v>
      </c>
      <c r="T39" s="210" t="s">
        <v>718</v>
      </c>
      <c r="U39" s="210" t="s">
        <v>719</v>
      </c>
      <c r="V39" s="204"/>
      <c r="W39" s="66">
        <f>IF(LEN(X39)&gt;0,VLOOKUP(X39,'1. Lists'!$BD$3:$BF$50,3,FALSE),"")</f>
        <v>5</v>
      </c>
      <c r="X39" s="127" t="s">
        <v>340</v>
      </c>
      <c r="Y39" s="204" t="s">
        <v>68</v>
      </c>
      <c r="Z39" s="204">
        <v>1</v>
      </c>
      <c r="AA39" s="209" t="s">
        <v>379</v>
      </c>
      <c r="AB39" s="141" t="s">
        <v>720</v>
      </c>
      <c r="AC39" s="123" t="s">
        <v>721</v>
      </c>
      <c r="AD39" s="123"/>
      <c r="AE39" s="123"/>
      <c r="AF39" s="123"/>
      <c r="AG39" s="123"/>
      <c r="AH39" s="123"/>
      <c r="AI39" s="135" t="s">
        <v>460</v>
      </c>
      <c r="AJ39" s="80" t="str">
        <f>IF(LEN(AK39)&gt;0,VLOOKUP(AK39,'1. Lists'!$BQ:$BR,2,FALSE),"")</f>
        <v>CO</v>
      </c>
      <c r="AK39" s="211" t="s">
        <v>12</v>
      </c>
      <c r="AL39" s="80">
        <f>IF(LEN(AM39)&gt;0,VLOOKUP(AM39,'1. Lists'!$BU$3:$BW$8,3,FALSE),"")</f>
        <v>3</v>
      </c>
      <c r="AM39" s="212" t="s">
        <v>83</v>
      </c>
      <c r="AN39" s="139">
        <v>1</v>
      </c>
      <c r="AO39" s="82">
        <f t="shared" si="0"/>
        <v>1</v>
      </c>
      <c r="AQ39" s="141">
        <v>0</v>
      </c>
      <c r="AR39" s="141">
        <v>0</v>
      </c>
      <c r="AS39" s="141">
        <v>1</v>
      </c>
      <c r="AT39" s="141">
        <v>0</v>
      </c>
      <c r="AV39" s="123"/>
      <c r="AW39" s="123"/>
      <c r="AX39" s="123"/>
      <c r="AY39" s="123"/>
      <c r="AZ39" s="123"/>
      <c r="BB39" s="213"/>
      <c r="BC39" s="213"/>
      <c r="BD39" s="213"/>
      <c r="BE39" s="213"/>
      <c r="BF39" s="213"/>
      <c r="BG39" s="213"/>
      <c r="BH39" s="213"/>
      <c r="BI39" s="213"/>
    </row>
  </sheetData>
  <sortState ref="A4:BN39">
    <sortCondition ref="C4:C39"/>
  </sortState>
  <customSheetViews>
    <customSheetView guid="{9B5DD690-7A96-4FFD-9A82-5184EBE7D9A3}">
      <pane xSplit="1" ySplit="2" topLeftCell="B3" activePane="bottomRight" state="frozen"/>
      <selection pane="bottomRight"/>
      <pageMargins left="0.7" right="0.7" top="0.75" bottom="0.75" header="0.3" footer="0.3"/>
      <pageSetup paperSize="9" orientation="portrait" r:id="rId1"/>
    </customSheetView>
  </customSheetViews>
  <mergeCells count="12">
    <mergeCell ref="BB1:BI1"/>
    <mergeCell ref="H1:I1"/>
    <mergeCell ref="AL1:AM1"/>
    <mergeCell ref="B1:C1"/>
    <mergeCell ref="F1:G1"/>
    <mergeCell ref="J1:K1"/>
    <mergeCell ref="N1:O1"/>
    <mergeCell ref="R1:S1"/>
    <mergeCell ref="AJ1:AK1"/>
    <mergeCell ref="L1:M1"/>
    <mergeCell ref="P1:Q1"/>
    <mergeCell ref="W1:X1"/>
  </mergeCells>
  <conditionalFormatting sqref="H3:H5 R2:R5 AJ2:AJ5 B2:B5 J2:J5 AL2:AL5 F2:F5 N4:N5 P2:P5 H8:H15 P7:P15 N7:N15 F7:F15 AL7:AL15 J7:J15 B7:B15 AJ7:AJ15 R7:R15 R40:R1048576 AJ40:AJ1048576 B40:B1048576 J40:J1048576 AL40:AL1048576 F40:F1048576 P40:P1048576 H40:H1048576">
    <cfRule type="containsErrors" dxfId="708" priority="70">
      <formula>ISERROR(B2)</formula>
    </cfRule>
  </conditionalFormatting>
  <conditionalFormatting sqref="AM3:AM5 I3:I5 AK3:AK5 M3:M5 K3:K5 S3:T5 Y3:AA5 C3:D5 O3:O5 Q3:Q5 Q7:Q15 O7:O15 C7:D15 Y7:AA15 G7:G15 S7:T15 K7:K15 M7:M15 AK7:AK15 I7:I15 AM7:AM15 G3:G5">
    <cfRule type="expression" dxfId="707" priority="65">
      <formula>IF(LEN(C3)=0,IF($A3&gt;0,TRUE,FALSE),FALSE)</formula>
    </cfRule>
  </conditionalFormatting>
  <conditionalFormatting sqref="X3:X5 AI7:AI15 X7:X15">
    <cfRule type="expression" dxfId="706" priority="62">
      <formula>IF((LEN(X3)+$A3)=$A3,IF($A3&gt;0,TRUE,FALSE),FALSE)</formula>
    </cfRule>
  </conditionalFormatting>
  <conditionalFormatting sqref="X3:X5">
    <cfRule type="expression" dxfId="705" priority="59">
      <formula>IF((LEN(X3)+$A3)=$A3,IF($A3&gt;0,TRUE,FALSE),FALSE)</formula>
    </cfRule>
  </conditionalFormatting>
  <conditionalFormatting sqref="F3:F5 F7:F15">
    <cfRule type="containsErrors" dxfId="704" priority="52">
      <formula>ISERROR(F3)</formula>
    </cfRule>
  </conditionalFormatting>
  <conditionalFormatting sqref="L2">
    <cfRule type="containsErrors" dxfId="703" priority="48">
      <formula>ISERROR(L2)</formula>
    </cfRule>
  </conditionalFormatting>
  <conditionalFormatting sqref="E3:E5 AB3:AH5 T3:X5 T7:X15 AB7:AH15 E7:E15">
    <cfRule type="expression" dxfId="702" priority="46">
      <formula>IF(LEN(E3)&gt;(MID(E$2,1,FIND(" ",E$2)-1)*1),TRUE,FALSE)</formula>
    </cfRule>
  </conditionalFormatting>
  <conditionalFormatting sqref="L3">
    <cfRule type="containsErrors" dxfId="701" priority="45">
      <formula>ISERROR(L3)</formula>
    </cfRule>
  </conditionalFormatting>
  <conditionalFormatting sqref="N2">
    <cfRule type="containsErrors" dxfId="700" priority="43">
      <formula>ISERROR(N2)</formula>
    </cfRule>
  </conditionalFormatting>
  <conditionalFormatting sqref="N3">
    <cfRule type="containsErrors" dxfId="699" priority="42">
      <formula>ISERROR(N3)</formula>
    </cfRule>
  </conditionalFormatting>
  <conditionalFormatting sqref="H7">
    <cfRule type="containsErrors" dxfId="698" priority="38">
      <formula>ISERROR(H7)</formula>
    </cfRule>
  </conditionalFormatting>
  <conditionalFormatting sqref="AI3:AI4">
    <cfRule type="expression" dxfId="697" priority="37">
      <formula>IF((LEN(AI3)+$A3)=$A3,IF($A3&gt;0,TRUE,FALSE),FALSE)</formula>
    </cfRule>
  </conditionalFormatting>
  <conditionalFormatting sqref="AI5">
    <cfRule type="expression" dxfId="696" priority="30">
      <formula>IF((LEN(AI5)+$A5)=$A5,IF($A5&gt;0,TRUE,FALSE),FALSE)</formula>
    </cfRule>
  </conditionalFormatting>
  <conditionalFormatting sqref="BB3 BB4:BI5 BB7:BI15">
    <cfRule type="expression" dxfId="695" priority="28">
      <formula>IF(BB$2=$AJ3,TRUE,FALSE)</formula>
    </cfRule>
  </conditionalFormatting>
  <conditionalFormatting sqref="BC3:BI3">
    <cfRule type="expression" dxfId="694" priority="26">
      <formula>IF(BC$2=$AJ3,TRUE,FALSE)</formula>
    </cfRule>
  </conditionalFormatting>
  <conditionalFormatting sqref="H6 R6 AJ6 B6 J6 AL6 F6 N6 P6">
    <cfRule type="containsErrors" dxfId="693" priority="22">
      <formula>ISERROR(B6)</formula>
    </cfRule>
  </conditionalFormatting>
  <conditionalFormatting sqref="AM6 I6 AK6 M6 K6 S6:T6 G6 Y6:AA6 C6:D6 O6 Q6">
    <cfRule type="expression" dxfId="692" priority="21">
      <formula>IF(LEN(C6)=0,IF($A6&gt;0,TRUE,FALSE),FALSE)</formula>
    </cfRule>
  </conditionalFormatting>
  <conditionalFormatting sqref="X6">
    <cfRule type="expression" dxfId="691" priority="20">
      <formula>IF((LEN(X6)+$A6)=$A6,IF($A6&gt;0,TRUE,FALSE),FALSE)</formula>
    </cfRule>
  </conditionalFormatting>
  <conditionalFormatting sqref="X6">
    <cfRule type="expression" dxfId="690" priority="19">
      <formula>IF((LEN(X6)+$A6)=$A6,IF($A6&gt;0,TRUE,FALSE),FALSE)</formula>
    </cfRule>
  </conditionalFormatting>
  <conditionalFormatting sqref="F6">
    <cfRule type="containsErrors" dxfId="689" priority="18">
      <formula>ISERROR(F6)</formula>
    </cfRule>
  </conditionalFormatting>
  <conditionalFormatting sqref="E6 AB6:AH6 T6:X6">
    <cfRule type="expression" dxfId="688" priority="17">
      <formula>IF(LEN(E6)&gt;(MID(E$2,1,FIND(" ",E$2)-1)*1),TRUE,FALSE)</formula>
    </cfRule>
  </conditionalFormatting>
  <conditionalFormatting sqref="AI6">
    <cfRule type="expression" dxfId="687" priority="16">
      <formula>IF((LEN(AI6)+$A6)=$A6,IF($A6&gt;0,TRUE,FALSE),FALSE)</formula>
    </cfRule>
  </conditionalFormatting>
  <conditionalFormatting sqref="BB6:BI6">
    <cfRule type="expression" dxfId="686" priority="15">
      <formula>IF(BB$2=$AJ6,TRUE,FALSE)</formula>
    </cfRule>
  </conditionalFormatting>
  <conditionalFormatting sqref="AJ16:AJ23 AL16:AL23 F16:F39 H16:H38 J16:J38 N16:N38 P16:P38 R16:R38 B16:B39 AL25:AL39 AJ25:AJ39">
    <cfRule type="containsErrors" dxfId="685" priority="14">
      <formula>ISERROR(B16)</formula>
    </cfRule>
  </conditionalFormatting>
  <conditionalFormatting sqref="AM16:AM23 I16:I38 AK16:AK23 M16:M38 G16:G38 O16:O38 Q16:Q38 K16:K38 S16:T38 Y16:AA38 C16:D39 T39 AK25:AK39 AM25:AM39">
    <cfRule type="expression" dxfId="684" priority="13">
      <formula>IF(LEN(C16)=0,IF($A16&gt;0,TRUE,FALSE),FALSE)</formula>
    </cfRule>
  </conditionalFormatting>
  <conditionalFormatting sqref="AI16:AI38 X16:X38">
    <cfRule type="expression" dxfId="683" priority="12">
      <formula>IF((LEN(X16)+$A16)=$A16,IF($A16&gt;0,TRUE,FALSE),FALSE)</formula>
    </cfRule>
  </conditionalFormatting>
  <conditionalFormatting sqref="F16:F39">
    <cfRule type="containsErrors" dxfId="682" priority="11">
      <formula>ISERROR(F16)</formula>
    </cfRule>
  </conditionalFormatting>
  <conditionalFormatting sqref="E16:E39 T16:X38 T39:V39 AB16:AH39">
    <cfRule type="expression" dxfId="681" priority="10">
      <formula>IF(LEN(E16)&gt;(MID(E$2,1,FIND(" ",E$2)-1)*1),TRUE,FALSE)</formula>
    </cfRule>
  </conditionalFormatting>
  <conditionalFormatting sqref="AI39">
    <cfRule type="expression" dxfId="680" priority="9">
      <formula>IF((LEN(AI39)+$A39)=$A39,IF($A39&gt;0,TRUE,FALSE),FALSE)</formula>
    </cfRule>
  </conditionalFormatting>
  <conditionalFormatting sqref="BB16:BI39">
    <cfRule type="expression" dxfId="679" priority="8">
      <formula>IF(BB$2=$AJ16,TRUE,FALSE)</formula>
    </cfRule>
  </conditionalFormatting>
  <conditionalFormatting sqref="AL24 AJ24">
    <cfRule type="containsErrors" dxfId="678" priority="7">
      <formula>ISERROR(AJ24)</formula>
    </cfRule>
  </conditionalFormatting>
  <conditionalFormatting sqref="AK24 AM24">
    <cfRule type="expression" dxfId="677" priority="6">
      <formula>IF(LEN(AK24)=0,IF($A24&gt;0,TRUE,FALSE),FALSE)</formula>
    </cfRule>
  </conditionalFormatting>
  <conditionalFormatting sqref="H39 J39 N39 P39 R39">
    <cfRule type="containsErrors" dxfId="676" priority="5">
      <formula>ISERROR(H39)</formula>
    </cfRule>
  </conditionalFormatting>
  <conditionalFormatting sqref="I39 M39 G39 O39 Q39 K39 S39">
    <cfRule type="expression" dxfId="675" priority="4">
      <formula>IF(LEN(G39)=0,IF($A39&gt;0,TRUE,FALSE),FALSE)</formula>
    </cfRule>
  </conditionalFormatting>
  <conditionalFormatting sqref="Y39:AA39">
    <cfRule type="expression" dxfId="674" priority="3">
      <formula>IF(LEN(Y39)=0,IF($A39&gt;0,TRUE,FALSE),FALSE)</formula>
    </cfRule>
  </conditionalFormatting>
  <conditionalFormatting sqref="X39">
    <cfRule type="expression" dxfId="673" priority="2">
      <formula>IF((LEN(X39)+$A39)=$A39,IF($A39&gt;0,TRUE,FALSE),FALSE)</formula>
    </cfRule>
  </conditionalFormatting>
  <conditionalFormatting sqref="W39:X39">
    <cfRule type="expression" dxfId="672" priority="1">
      <formula>IF(LEN(W39)&gt;(MID(W$2,1,FIND(" ",W$2)-1)*1),TRUE,FALSE)</formula>
    </cfRule>
  </conditionalFormatting>
  <dataValidations count="13">
    <dataValidation type="list" allowBlank="1" showInputMessage="1" showErrorMessage="1" sqref="AA3:AA39">
      <formula1>driver</formula1>
    </dataValidation>
    <dataValidation type="list" allowBlank="1" showInputMessage="1" showErrorMessage="1" sqref="AK3:AK39">
      <formula1>calctype</formula1>
    </dataValidation>
    <dataValidation type="list" allowBlank="1" showInputMessage="1" showErrorMessage="1" sqref="AM3:AM39">
      <formula1>targettype</formula1>
    </dataValidation>
    <dataValidation type="list" allowBlank="1" showInputMessage="1" showErrorMessage="1" sqref="S3:S39">
      <formula1>munkpa</formula1>
    </dataValidation>
    <dataValidation type="list" allowBlank="1" showInputMessage="1" showErrorMessage="1" sqref="K3:K39">
      <formula1>natkpa</formula1>
    </dataValidation>
    <dataValidation type="list" allowBlank="1" showInputMessage="1" showErrorMessage="1" sqref="G3:G39">
      <formula1>gfs</formula1>
    </dataValidation>
    <dataValidation type="list" allowBlank="1" showInputMessage="1" showErrorMessage="1" sqref="C3:C39">
      <formula1>Dir</formula1>
    </dataValidation>
    <dataValidation type="list" allowBlank="1" showInputMessage="1" showErrorMessage="1" sqref="I3:I39">
      <formula1>natout</formula1>
    </dataValidation>
    <dataValidation type="list" allowBlank="1" showInputMessage="1" showErrorMessage="1" sqref="D3:D39">
      <formula1>"Yes,No"</formula1>
    </dataValidation>
    <dataValidation type="list" allowBlank="1" showInputMessage="1" showErrorMessage="1" sqref="X3:X39">
      <formula1>riskrate</formula1>
    </dataValidation>
    <dataValidation type="list" allowBlank="1" showInputMessage="1" showErrorMessage="1" sqref="M3:M39">
      <formula1>PDO</formula1>
    </dataValidation>
    <dataValidation type="list" allowBlank="1" showInputMessage="1" showErrorMessage="1" sqref="O3:O39">
      <formula1>NDP_Objective</formula1>
    </dataValidation>
    <dataValidation type="list" allowBlank="1" showInputMessage="1" showErrorMessage="1" sqref="Q3:Q39">
      <formula1>tlobj</formula1>
    </dataValidation>
  </dataValidations>
  <pageMargins left="0.25" right="0.25" top="0.75" bottom="0.75" header="0.3" footer="0.3"/>
  <pageSetup paperSize="9" scale="36" fitToHeight="100" orientation="landscape" r:id="rId2"/>
  <headerFooter>
    <oddHeader>&amp;C&amp;"-,Bold"&amp;14Toplayer Service Delivery Budget Implementation Plan for 2018/19</oddHeader>
    <oddFooter>&amp;R&amp;"-,Bold"Page|&amp;P/&amp;N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W58"/>
  <sheetViews>
    <sheetView topLeftCell="A2" zoomScale="85" zoomScaleNormal="85" workbookViewId="0">
      <selection activeCell="A2" sqref="A2:XFD2"/>
    </sheetView>
  </sheetViews>
  <sheetFormatPr defaultColWidth="9.140625" defaultRowHeight="15" x14ac:dyDescent="0.25"/>
  <cols>
    <col min="1" max="1" width="7.85546875" style="92" customWidth="1"/>
    <col min="2" max="2" width="8.140625" style="66" hidden="1" customWidth="1"/>
    <col min="3" max="3" width="20.85546875" style="66" hidden="1" customWidth="1"/>
    <col min="4" max="4" width="24.5703125" style="63" customWidth="1"/>
    <col min="5" max="5" width="9.28515625" style="64" hidden="1" customWidth="1"/>
    <col min="6" max="6" width="14.85546875" style="64" hidden="1" customWidth="1"/>
    <col min="7" max="7" width="24.5703125" style="65" hidden="1" customWidth="1"/>
    <col min="8" max="8" width="5.5703125" style="66" hidden="1" customWidth="1"/>
    <col min="9" max="9" width="56.7109375" style="67" hidden="1" customWidth="1"/>
    <col min="10" max="10" width="15.28515625" style="68" hidden="1" customWidth="1"/>
    <col min="11" max="11" width="5.5703125" style="66" hidden="1" customWidth="1"/>
    <col min="12" max="12" width="27.28515625" style="69" hidden="1" customWidth="1"/>
    <col min="13" max="13" width="5.5703125" style="70" hidden="1" customWidth="1"/>
    <col min="14" max="14" width="27.42578125" style="71" customWidth="1"/>
    <col min="15" max="15" width="5.5703125" style="66" hidden="1" customWidth="1"/>
    <col min="16" max="16" width="24" style="72" hidden="1" customWidth="1"/>
    <col min="17" max="17" width="5.5703125" style="73" hidden="1" customWidth="1"/>
    <col min="18" max="18" width="29.140625" style="74" hidden="1" customWidth="1"/>
    <col min="19" max="19" width="5.5703125" style="73" hidden="1" customWidth="1"/>
    <col min="20" max="20" width="32.28515625" style="75" hidden="1" customWidth="1"/>
    <col min="21" max="21" width="5.5703125" style="76" hidden="1" customWidth="1"/>
    <col min="22" max="22" width="32.28515625" style="75" hidden="1" customWidth="1"/>
    <col min="23" max="23" width="9.85546875" style="77" hidden="1" customWidth="1"/>
    <col min="24" max="24" width="20.140625" style="78" hidden="1" customWidth="1"/>
    <col min="25" max="25" width="29.28515625" style="78" hidden="1" customWidth="1"/>
    <col min="26" max="26" width="40.5703125" style="75" customWidth="1"/>
    <col min="27" max="27" width="48.5703125" style="75" customWidth="1"/>
    <col min="28" max="28" width="6.7109375" style="66" hidden="1" customWidth="1"/>
    <col min="29" max="29" width="14.7109375" style="68" hidden="1" customWidth="1"/>
    <col min="30" max="30" width="6.5703125" style="66" hidden="1" customWidth="1"/>
    <col min="31" max="32" width="22.28515625" style="68" hidden="1" customWidth="1"/>
    <col min="33" max="33" width="45.7109375" style="68" hidden="1" customWidth="1"/>
    <col min="34" max="34" width="5.5703125" style="66" hidden="1" customWidth="1"/>
    <col min="35" max="35" width="24.85546875" style="68" hidden="1" customWidth="1"/>
    <col min="36" max="37" width="18" style="68" hidden="1" customWidth="1"/>
    <col min="38" max="38" width="22.85546875" style="71" customWidth="1"/>
    <col min="39" max="39" width="28.28515625" style="79" customWidth="1"/>
    <col min="40" max="40" width="28.28515625" style="68" hidden="1" customWidth="1"/>
    <col min="41" max="41" width="28.28515625" style="79" customWidth="1"/>
    <col min="42" max="42" width="28.28515625" style="68" customWidth="1"/>
    <col min="43" max="46" width="28.28515625" style="68" hidden="1" customWidth="1"/>
    <col min="47" max="47" width="21.42578125" style="63" hidden="1" customWidth="1"/>
    <col min="48" max="48" width="5.5703125" style="80" hidden="1" customWidth="1"/>
    <col min="49" max="49" width="19.140625" style="63" hidden="1" customWidth="1"/>
    <col min="50" max="50" width="5.5703125" style="80" hidden="1" customWidth="1"/>
    <col min="51" max="51" width="19.140625" style="63" bestFit="1" customWidth="1"/>
    <col min="52" max="52" width="13.42578125" style="81" bestFit="1" customWidth="1"/>
    <col min="53" max="53" width="14.140625" style="82" hidden="1" customWidth="1"/>
    <col min="54" max="54" width="2.28515625" style="66" customWidth="1"/>
    <col min="55" max="66" width="14.5703125" style="83" customWidth="1"/>
    <col min="67" max="86" width="0" style="66" hidden="1" customWidth="1"/>
    <col min="87" max="16384" width="9.140625" style="66"/>
  </cols>
  <sheetData>
    <row r="1" spans="1:75" ht="30" hidden="1" x14ac:dyDescent="0.25">
      <c r="A1" s="60" t="str">
        <f>top_dirid</f>
        <v>Directorate [R]</v>
      </c>
      <c r="B1" s="61"/>
      <c r="C1" s="62" t="s">
        <v>358</v>
      </c>
    </row>
    <row r="2" spans="1:75" s="84" customFormat="1" ht="31.9" customHeight="1" x14ac:dyDescent="0.25">
      <c r="A2" s="84" t="s">
        <v>179</v>
      </c>
      <c r="B2" s="424" t="str">
        <f>kpi_subid</f>
        <v>Sub-Directorate [R]</v>
      </c>
      <c r="C2" s="424"/>
      <c r="D2" s="424"/>
      <c r="E2" s="422" t="str">
        <f>kpi_topid</f>
        <v>Top Layer KPI</v>
      </c>
      <c r="F2" s="422"/>
      <c r="G2" s="422"/>
      <c r="H2" s="420" t="str">
        <f>kpi_gfsid</f>
        <v>Function [R]</v>
      </c>
      <c r="I2" s="420"/>
      <c r="J2" s="85" t="str">
        <f>kpi_idpref</f>
        <v>IDP Ref</v>
      </c>
      <c r="K2" s="417" t="str">
        <f>kpi_natoutcomeid</f>
        <v>National Outcome [R]</v>
      </c>
      <c r="L2" s="417"/>
      <c r="M2" s="419" t="str">
        <f>kpi_idpid</f>
        <v>IDP Objective [R]</v>
      </c>
      <c r="N2" s="419"/>
      <c r="O2" s="421" t="str">
        <f>kpi_natkpaid</f>
        <v>National KPA [R]</v>
      </c>
      <c r="P2" s="421"/>
      <c r="Q2" s="422" t="str">
        <f>kpi_munkpaid</f>
        <v>Municipal KPA [R]</v>
      </c>
      <c r="R2" s="422"/>
      <c r="S2" s="424" t="str">
        <f>kpi_pdoid</f>
        <v>Pre-determined Objectives [R]</v>
      </c>
      <c r="T2" s="424"/>
      <c r="U2" s="420" t="str">
        <f>kpi_ndpid</f>
        <v>NDP Objective [R]</v>
      </c>
      <c r="V2" s="420"/>
      <c r="W2" s="417" t="str">
        <f>kpi_capitalid</f>
        <v>Capital Project</v>
      </c>
      <c r="X2" s="417"/>
      <c r="Y2" s="417"/>
      <c r="Z2" s="85" t="str">
        <f>kpi_value</f>
        <v>KPI Name [R]</v>
      </c>
      <c r="AA2" s="85" t="str">
        <f>kpi_unit</f>
        <v>Unit of Measurement</v>
      </c>
      <c r="AB2" s="424" t="str">
        <f>kpi_conceptid</f>
        <v>KPI Concept [R]</v>
      </c>
      <c r="AC2" s="424"/>
      <c r="AD2" s="420" t="str">
        <f>kpi_typeid</f>
        <v>KPI Type [R]</v>
      </c>
      <c r="AE2" s="420"/>
      <c r="AF2" s="85" t="str">
        <f>kpi_riskref</f>
        <v>Risk Reg. Ref</v>
      </c>
      <c r="AG2" s="85" t="str">
        <f>kpi_risk</f>
        <v>Risk</v>
      </c>
      <c r="AH2" s="422" t="str">
        <f>kpi_riskratingid</f>
        <v>Provincial Strategic Objectives [R]</v>
      </c>
      <c r="AI2" s="422"/>
      <c r="AJ2" s="86" t="str">
        <f>kpi_wards</f>
        <v>Ward [R]</v>
      </c>
      <c r="AK2" s="87" t="str">
        <f>kpi_area</f>
        <v>Area [R]</v>
      </c>
      <c r="AL2" s="88" t="str">
        <f>kpi_ownerid</f>
        <v>KPI Owner [R]</v>
      </c>
      <c r="AM2" s="89" t="str">
        <f>kpi_baseline</f>
        <v>Baseline</v>
      </c>
      <c r="AN2" s="85" t="str">
        <f>kpi_pyp</f>
        <v>Past Year Performance</v>
      </c>
      <c r="AO2" s="89" t="str">
        <f>kpi_perfstd</f>
        <v>Performance Standard</v>
      </c>
      <c r="AP2" s="85" t="str">
        <f>kpi_poe</f>
        <v>POE</v>
      </c>
      <c r="AQ2" s="85" t="str">
        <f>kpi_mtas</f>
        <v>MTAS Indicator</v>
      </c>
      <c r="AR2" s="85" t="str">
        <f>kpi_new1</f>
        <v>New Text 1</v>
      </c>
      <c r="AS2" s="85" t="str">
        <f>kpi_new2</f>
        <v>New Text 2</v>
      </c>
      <c r="AT2" s="85" t="str">
        <f>kpi_new3</f>
        <v>New Text 3</v>
      </c>
      <c r="AU2" s="90" t="str">
        <f>kpi_repcate</f>
        <v>Reporting Category [R]</v>
      </c>
      <c r="AV2" s="424" t="str">
        <f>kpi_calctype</f>
        <v>KPI Calculation Type [R]</v>
      </c>
      <c r="AW2" s="424"/>
      <c r="AX2" s="420" t="str">
        <f>kpi_targettype</f>
        <v>Target Type [R]</v>
      </c>
      <c r="AY2" s="420"/>
      <c r="AZ2" s="91" t="str">
        <f>kpi_annual</f>
        <v>Annual Target</v>
      </c>
      <c r="BA2" s="85" t="str">
        <f>kpi_revised</f>
        <v>Revised Target</v>
      </c>
      <c r="BC2" s="91" t="str">
        <f>tp_1</f>
        <v>July 2018</v>
      </c>
      <c r="BD2" s="91" t="str">
        <f>tp_2</f>
        <v>August 2018</v>
      </c>
      <c r="BE2" s="91" t="str">
        <f>tp_3</f>
        <v>September 2018</v>
      </c>
      <c r="BF2" s="91" t="str">
        <f>tp_4</f>
        <v>October 2018</v>
      </c>
      <c r="BG2" s="91" t="str">
        <f>tp_5</f>
        <v>November 2018</v>
      </c>
      <c r="BH2" s="91" t="str">
        <f>tp_6</f>
        <v>December 2018</v>
      </c>
      <c r="BI2" s="91" t="str">
        <f>tp_7</f>
        <v>January 2019</v>
      </c>
      <c r="BJ2" s="91" t="str">
        <f>tp_8</f>
        <v>February 2019</v>
      </c>
      <c r="BK2" s="91" t="str">
        <f>tp_9</f>
        <v>March 2019</v>
      </c>
      <c r="BL2" s="91" t="str">
        <f>tp_10</f>
        <v>April 2019</v>
      </c>
      <c r="BM2" s="91" t="str">
        <f>tp_11</f>
        <v>May 2019</v>
      </c>
      <c r="BN2" s="91" t="str">
        <f>tp_12</f>
        <v>June 2019</v>
      </c>
      <c r="BP2" s="416" t="s">
        <v>333</v>
      </c>
      <c r="BQ2" s="416"/>
      <c r="BR2" s="416"/>
      <c r="BS2" s="416"/>
      <c r="BT2" s="416"/>
      <c r="BU2" s="416"/>
      <c r="BV2" s="416"/>
      <c r="BW2" s="416"/>
    </row>
    <row r="3" spans="1:75" s="93" customFormat="1" ht="15" customHeight="1" x14ac:dyDescent="0.25">
      <c r="A3" s="92" t="s">
        <v>0</v>
      </c>
      <c r="B3" s="93" t="s">
        <v>179</v>
      </c>
      <c r="C3" s="93" t="s">
        <v>1</v>
      </c>
      <c r="D3" s="94" t="s">
        <v>94</v>
      </c>
      <c r="E3" s="95" t="s">
        <v>180</v>
      </c>
      <c r="F3" s="96" t="s">
        <v>1</v>
      </c>
      <c r="G3" s="96" t="s">
        <v>95</v>
      </c>
      <c r="H3" s="97" t="s">
        <v>179</v>
      </c>
      <c r="I3" s="98" t="s">
        <v>94</v>
      </c>
      <c r="J3" s="99" t="s">
        <v>103</v>
      </c>
      <c r="K3" s="97" t="s">
        <v>179</v>
      </c>
      <c r="L3" s="100" t="s">
        <v>94</v>
      </c>
      <c r="M3" s="97" t="s">
        <v>179</v>
      </c>
      <c r="N3" s="101" t="s">
        <v>94</v>
      </c>
      <c r="O3" s="97" t="s">
        <v>179</v>
      </c>
      <c r="P3" s="102" t="s">
        <v>94</v>
      </c>
      <c r="Q3" s="97" t="s">
        <v>179</v>
      </c>
      <c r="R3" s="103" t="s">
        <v>94</v>
      </c>
      <c r="S3" s="97" t="s">
        <v>179</v>
      </c>
      <c r="T3" s="104" t="s">
        <v>94</v>
      </c>
      <c r="U3" s="105" t="s">
        <v>179</v>
      </c>
      <c r="V3" s="106" t="s">
        <v>94</v>
      </c>
      <c r="W3" s="107" t="s">
        <v>178</v>
      </c>
      <c r="X3" s="108" t="s">
        <v>99</v>
      </c>
      <c r="Y3" s="108" t="s">
        <v>98</v>
      </c>
      <c r="Z3" s="109" t="s">
        <v>105</v>
      </c>
      <c r="AA3" s="109" t="s">
        <v>168</v>
      </c>
      <c r="AB3" s="97" t="s">
        <v>179</v>
      </c>
      <c r="AC3" s="110" t="s">
        <v>94</v>
      </c>
      <c r="AD3" s="97" t="s">
        <v>179</v>
      </c>
      <c r="AE3" s="111" t="s">
        <v>94</v>
      </c>
      <c r="AF3" s="99" t="s">
        <v>107</v>
      </c>
      <c r="AG3" s="99" t="s">
        <v>106</v>
      </c>
      <c r="AH3" s="97" t="s">
        <v>179</v>
      </c>
      <c r="AI3" s="112" t="s">
        <v>94</v>
      </c>
      <c r="AJ3" s="113" t="s">
        <v>92</v>
      </c>
      <c r="AK3" s="114" t="s">
        <v>181</v>
      </c>
      <c r="AL3" s="101" t="s">
        <v>94</v>
      </c>
      <c r="AM3" s="115" t="s">
        <v>106</v>
      </c>
      <c r="AN3" s="99" t="s">
        <v>106</v>
      </c>
      <c r="AO3" s="115" t="s">
        <v>106</v>
      </c>
      <c r="AP3" s="99" t="s">
        <v>106</v>
      </c>
      <c r="AQ3" s="99" t="s">
        <v>168</v>
      </c>
      <c r="AR3" s="99" t="s">
        <v>168</v>
      </c>
      <c r="AS3" s="99" t="s">
        <v>168</v>
      </c>
      <c r="AT3" s="99" t="s">
        <v>168</v>
      </c>
      <c r="AU3" s="114" t="s">
        <v>182</v>
      </c>
      <c r="AV3" s="93" t="s">
        <v>179</v>
      </c>
      <c r="AW3" s="94" t="s">
        <v>94</v>
      </c>
      <c r="AX3" s="93" t="s">
        <v>179</v>
      </c>
      <c r="AY3" s="98" t="s">
        <v>94</v>
      </c>
      <c r="AZ3" s="116" t="s">
        <v>83</v>
      </c>
      <c r="BA3" s="99" t="s">
        <v>83</v>
      </c>
      <c r="BC3" s="117" t="s">
        <v>83</v>
      </c>
      <c r="BD3" s="117" t="s">
        <v>83</v>
      </c>
      <c r="BE3" s="117" t="s">
        <v>83</v>
      </c>
      <c r="BF3" s="117" t="s">
        <v>83</v>
      </c>
      <c r="BG3" s="117" t="s">
        <v>83</v>
      </c>
      <c r="BH3" s="117" t="s">
        <v>83</v>
      </c>
      <c r="BI3" s="117" t="s">
        <v>83</v>
      </c>
      <c r="BJ3" s="117" t="s">
        <v>83</v>
      </c>
      <c r="BK3" s="117" t="s">
        <v>83</v>
      </c>
      <c r="BL3" s="117" t="s">
        <v>83</v>
      </c>
      <c r="BM3" s="117" t="s">
        <v>83</v>
      </c>
      <c r="BN3" s="117" t="s">
        <v>83</v>
      </c>
      <c r="BP3" s="118" t="s">
        <v>74</v>
      </c>
      <c r="BQ3" s="118" t="s">
        <v>75</v>
      </c>
      <c r="BR3" s="118" t="s">
        <v>76</v>
      </c>
      <c r="BS3" s="118" t="s">
        <v>77</v>
      </c>
      <c r="BT3" s="118" t="s">
        <v>16</v>
      </c>
      <c r="BU3" s="118" t="s">
        <v>134</v>
      </c>
      <c r="BV3" s="118" t="s">
        <v>191</v>
      </c>
      <c r="BW3" s="118" t="s">
        <v>193</v>
      </c>
    </row>
    <row r="4" spans="1:75" ht="75" x14ac:dyDescent="0.25">
      <c r="A4" s="119">
        <v>1</v>
      </c>
      <c r="B4" s="66">
        <f>IF(LEN(D4)&gt;0,VLOOKUP(D4,'1. Lists'!$E$3:$J$52,6,FALSE),"")</f>
        <v>1</v>
      </c>
      <c r="C4" s="66" t="str">
        <f>IF(LEN(D4)&gt;0,VLOOKUP(D4,'1. Lists'!$E$3:$F$52,2,FALSE),"")</f>
        <v>Office of the Municipal Manager</v>
      </c>
      <c r="D4" s="120" t="s">
        <v>362</v>
      </c>
      <c r="E4" s="121"/>
      <c r="F4" s="65" t="str">
        <f>IF(E4&gt;0,VLOOKUP(E4,'2. Top Layer'!$A:$C,3,FALSE),"")</f>
        <v/>
      </c>
      <c r="G4" s="65" t="str">
        <f>IF(E4&gt;0,VLOOKUP(E4,'2. Top Layer'!$A:$T,20,FALSE),"")</f>
        <v/>
      </c>
      <c r="H4" s="66">
        <f>IF(LEN(I4)&gt;0,VLOOKUP(I4,'1. Lists'!$T:$U,2,FALSE),"")</f>
        <v>63</v>
      </c>
      <c r="I4" s="122" t="s">
        <v>441</v>
      </c>
      <c r="J4" s="123"/>
      <c r="K4" s="66">
        <f>IF(LEN(L4)&gt;0,VLOOKUP(L4,'1. Lists'!$AK:$AL,2,FALSE),"")</f>
        <v>9</v>
      </c>
      <c r="L4" s="124" t="s">
        <v>159</v>
      </c>
      <c r="M4" s="70">
        <f>IF(LEN(N4)&gt;0,VLOOKUP(N4,'1. Lists'!$AN:$AQ,4,FALSE),"")</f>
        <v>2</v>
      </c>
      <c r="N4" s="125" t="s">
        <v>382</v>
      </c>
      <c r="O4" s="66">
        <f>IF(LEN(P4)&gt;0,VLOOKUP(P4,'1. Lists'!$AA:$AC,3,FALSE),"")</f>
        <v>5</v>
      </c>
      <c r="P4" s="126" t="s">
        <v>42</v>
      </c>
      <c r="Q4" s="73">
        <f>IF(LEN(R4)&gt;0,VLOOKUP(R4,'1. Lists'!$W:$Y,3,FALSE),"")</f>
        <v>1</v>
      </c>
      <c r="R4" s="127" t="s">
        <v>169</v>
      </c>
      <c r="S4" s="73">
        <f>IF(LEN(T4)&gt;0,VLOOKUP(T4,'1. Lists'!$AH:$AI,2,FALSE),"")</f>
        <v>5</v>
      </c>
      <c r="T4" s="128" t="s">
        <v>390</v>
      </c>
      <c r="U4" s="76">
        <f>IF(LEN(V4)&gt;0,VLOOKUP(V4,'1. Lists'!$AE:$AF,2,FALSE),"")</f>
        <v>11</v>
      </c>
      <c r="V4" s="129" t="s">
        <v>355</v>
      </c>
      <c r="W4" s="130"/>
      <c r="X4" s="131" t="str">
        <f>IF(W4&gt;0,VLOOKUP($W4,#REF!,4,FALSE),"")</f>
        <v/>
      </c>
      <c r="Y4" s="78" t="str">
        <f>IF(W4&gt;0,VLOOKUP($W4,#REF!,10,FALSE),"")</f>
        <v/>
      </c>
      <c r="Z4" s="132" t="s">
        <v>463</v>
      </c>
      <c r="AA4" s="132" t="s">
        <v>464</v>
      </c>
      <c r="AB4" s="66">
        <f>IF(LEN(AC4)&gt;0,VLOOKUP(AC4,'1. Lists'!$AV$3:$AX$7,3,FALSE),"")</f>
        <v>4</v>
      </c>
      <c r="AC4" s="133" t="s">
        <v>52</v>
      </c>
      <c r="AD4" s="66">
        <f>IF(LEN(AE4)&gt;0,VLOOKUP(AE4,'1. Lists'!$AZ$3:$BB$7,3,FALSE),"")</f>
        <v>1</v>
      </c>
      <c r="AE4" s="122" t="s">
        <v>15</v>
      </c>
      <c r="AF4" s="123"/>
      <c r="AG4" s="123"/>
      <c r="AH4" s="66">
        <f>IF(LEN(AI4)&gt;0,VLOOKUP(AI4,'1. Lists'!$BD$3:$BF$15,3,FALSE),"")</f>
        <v>5</v>
      </c>
      <c r="AI4" s="127" t="s">
        <v>340</v>
      </c>
      <c r="AJ4" s="134" t="s">
        <v>68</v>
      </c>
      <c r="AK4" s="135" t="s">
        <v>461</v>
      </c>
      <c r="AL4" s="125" t="s">
        <v>362</v>
      </c>
      <c r="AM4" s="136">
        <v>4</v>
      </c>
      <c r="AN4" s="123"/>
      <c r="AO4" s="136" t="s">
        <v>567</v>
      </c>
      <c r="AP4" s="137" t="s">
        <v>568</v>
      </c>
      <c r="AQ4" s="123"/>
      <c r="AR4" s="123"/>
      <c r="AS4" s="123"/>
      <c r="AT4" s="123"/>
      <c r="AU4" s="135" t="s">
        <v>460</v>
      </c>
      <c r="AV4" s="80" t="str">
        <f>IF(LEN(AW4)&gt;0,VLOOKUP(AW4,'1. Lists'!$BQ:$BR,2,FALSE),"")</f>
        <v>ACC</v>
      </c>
      <c r="AW4" s="120" t="s">
        <v>14</v>
      </c>
      <c r="AX4" s="80">
        <f>IF(LEN(AY4)&gt;0,VLOOKUP(AY4,'1. Lists'!$BU$3:$BW$5,3,FALSE),"")</f>
        <v>3</v>
      </c>
      <c r="AY4" s="138" t="s">
        <v>83</v>
      </c>
      <c r="AZ4" s="139">
        <v>4</v>
      </c>
      <c r="BA4" s="140">
        <f>IF(LEN(AZ4)&gt;0,AZ4,"")</f>
        <v>4</v>
      </c>
      <c r="BC4" s="141">
        <v>0</v>
      </c>
      <c r="BD4" s="141">
        <v>1</v>
      </c>
      <c r="BE4" s="141">
        <v>0</v>
      </c>
      <c r="BF4" s="141">
        <v>1</v>
      </c>
      <c r="BG4" s="141">
        <v>0</v>
      </c>
      <c r="BH4" s="141">
        <v>0</v>
      </c>
      <c r="BI4" s="141">
        <v>1</v>
      </c>
      <c r="BJ4" s="141">
        <v>0</v>
      </c>
      <c r="BK4" s="141">
        <v>0</v>
      </c>
      <c r="BL4" s="141">
        <v>1</v>
      </c>
      <c r="BM4" s="141">
        <v>0</v>
      </c>
      <c r="BN4" s="141">
        <v>0</v>
      </c>
      <c r="BP4" s="66">
        <f>MAX(BC4:BN4)</f>
        <v>1</v>
      </c>
      <c r="BQ4" s="66">
        <f>SUM(BC4:BN4)</f>
        <v>4</v>
      </c>
      <c r="BR4" s="66">
        <f>IF(SUM(BC4:BN4)&gt;0,SUM(BC4:BN4)/COUNTIF(BC4:BN4,"&gt;0"),0)</f>
        <v>1</v>
      </c>
      <c r="BS4" s="66">
        <v>0</v>
      </c>
      <c r="BU4" s="66">
        <f>IF(SUM(BC4:BN4)&gt;0,SUM(BC4:BN4)/COUNTIF(BC4:BN4,"&gt;0"),0)</f>
        <v>1</v>
      </c>
      <c r="BV4" s="66">
        <f>IF(BN4&gt;0,BN4,IF(BM4&gt;0,BM4,IF(BL4&gt;0,BL4,IF(BK4&gt;0,BK4,IF(BJ4&gt;0,BJ4,IF(BI4&gt;0,BI4,IF(BH4&gt;0,BH4,IF(BG4&gt;0,BG4,IF(BF4&gt;0,BF4,IF(BE4&gt;0,BE4,IF(BD4&gt;0,BD4,BC4)))))))))))</f>
        <v>1</v>
      </c>
      <c r="BW4" s="66">
        <f>IF(BN4&gt;0,BN4,IF(BM4&gt;0,BM4,IF(BL4&gt;0,BL4,IF(BK4&gt;0,BK4,IF(BJ4&gt;0,BJ4,IF(BI4&gt;0,BI4,IF(BH4&gt;0,BH4,IF(BG4&gt;0,BG4,IF(BF4&gt;0,BF4,IF(BE4&gt;0,BE4,IF(BD4&gt;0,BD4,BC4)))))))))))</f>
        <v>1</v>
      </c>
    </row>
    <row r="5" spans="1:75" ht="75" x14ac:dyDescent="0.25">
      <c r="A5" s="92">
        <f>IF(COUNTBLANK(B5:BN5)&lt;65,A4+1,0)</f>
        <v>2</v>
      </c>
      <c r="B5" s="66">
        <f>IF(LEN(D5)&gt;0,VLOOKUP(D5,'1. Lists'!$E$3:$J$52,6,FALSE),"")</f>
        <v>1</v>
      </c>
      <c r="C5" s="66" t="str">
        <f>IF(LEN(D5)&gt;0,VLOOKUP(D5,'1. Lists'!$E$3:$F$52,2,FALSE),"")</f>
        <v>Office of the Municipal Manager</v>
      </c>
      <c r="D5" s="120" t="s">
        <v>362</v>
      </c>
      <c r="E5" s="121"/>
      <c r="F5" s="65" t="str">
        <f>IF(E5&gt;0,VLOOKUP(E5,'2. Top Layer'!$A:$C,3,FALSE),"")</f>
        <v/>
      </c>
      <c r="G5" s="65" t="str">
        <f>IF(E5&gt;0,VLOOKUP(E5,'2. Top Layer'!$A:$T,17,FALSE),"")</f>
        <v/>
      </c>
      <c r="H5" s="66">
        <f>IF(LEN(I5)&gt;0,VLOOKUP(I5,'1. Lists'!$T:$U,2,FALSE),"")</f>
        <v>63</v>
      </c>
      <c r="I5" s="122" t="s">
        <v>441</v>
      </c>
      <c r="J5" s="123"/>
      <c r="K5" s="66">
        <f>IF(LEN(L5)&gt;0,VLOOKUP(L5,'1. Lists'!$AK:$AL,2,FALSE),"")</f>
        <v>9</v>
      </c>
      <c r="L5" s="124" t="s">
        <v>159</v>
      </c>
      <c r="M5" s="70">
        <f>IF(LEN(N5)&gt;0,VLOOKUP(N5,'1. Lists'!$AN:$AQ,4,FALSE),"")</f>
        <v>2</v>
      </c>
      <c r="N5" s="125" t="s">
        <v>382</v>
      </c>
      <c r="O5" s="66">
        <f>IF(LEN(P5)&gt;0,VLOOKUP(P5,'1. Lists'!$AA:$AC,3,FALSE),"")</f>
        <v>5</v>
      </c>
      <c r="P5" s="134" t="s">
        <v>42</v>
      </c>
      <c r="Q5" s="73">
        <f>IF(LEN(R5)&gt;0,VLOOKUP(R5,'1. Lists'!$W:$Y,3,FALSE),"")</f>
        <v>1</v>
      </c>
      <c r="R5" s="127" t="s">
        <v>169</v>
      </c>
      <c r="S5" s="73">
        <f>IF(LEN(T5)&gt;0,VLOOKUP(T5,'1. Lists'!$AH:$AI,2,FALSE),"")</f>
        <v>5</v>
      </c>
      <c r="T5" s="128" t="s">
        <v>390</v>
      </c>
      <c r="U5" s="76">
        <f>IF(LEN(V5)&gt;0,VLOOKUP(V5,'1. Lists'!$AE:$AF,2,FALSE),"")</f>
        <v>11</v>
      </c>
      <c r="V5" s="129" t="s">
        <v>355</v>
      </c>
      <c r="W5" s="130"/>
      <c r="X5" s="131" t="str">
        <f>IF(W5&gt;0,VLOOKUP($W5,#REF!,4,FALSE),"")</f>
        <v/>
      </c>
      <c r="Y5" s="78" t="str">
        <f>IF(W5&gt;0,VLOOKUP($W5,#REF!,10,FALSE),"")</f>
        <v/>
      </c>
      <c r="Z5" s="132" t="s">
        <v>465</v>
      </c>
      <c r="AA5" s="132" t="s">
        <v>466</v>
      </c>
      <c r="AB5" s="66">
        <f>IF(LEN(AC5)&gt;0,VLOOKUP(AC5,'1. Lists'!$AV$3:$AX$7,3,FALSE),"")</f>
        <v>3</v>
      </c>
      <c r="AC5" s="133" t="s">
        <v>4</v>
      </c>
      <c r="AD5" s="66">
        <f>IF(LEN(AE5)&gt;0,VLOOKUP(AE5,'1. Lists'!$AZ$3:$BB$7,3,FALSE),"")</f>
        <v>2</v>
      </c>
      <c r="AE5" s="122" t="s">
        <v>9</v>
      </c>
      <c r="AF5" s="123"/>
      <c r="AG5" s="123"/>
      <c r="AH5" s="80">
        <f>IF(LEN(AI5)&gt;0,VLOOKUP(AI5,'1. Lists'!$BD$3:$BF$15,3,FALSE),"")</f>
        <v>5</v>
      </c>
      <c r="AI5" s="142" t="s">
        <v>340</v>
      </c>
      <c r="AJ5" s="143" t="s">
        <v>68</v>
      </c>
      <c r="AK5" s="144" t="s">
        <v>461</v>
      </c>
      <c r="AL5" s="125" t="s">
        <v>362</v>
      </c>
      <c r="AM5" s="145">
        <v>1</v>
      </c>
      <c r="AN5" s="123"/>
      <c r="AO5" s="136" t="s">
        <v>569</v>
      </c>
      <c r="AP5" s="137" t="s">
        <v>570</v>
      </c>
      <c r="AQ5" s="123"/>
      <c r="AR5" s="123"/>
      <c r="AS5" s="123"/>
      <c r="AT5" s="123"/>
      <c r="AU5" s="135" t="s">
        <v>460</v>
      </c>
      <c r="AV5" s="80" t="str">
        <f>IF(LEN(AW5)&gt;0,VLOOKUP(AW5,'1. Lists'!$BQ:$BR,2,FALSE),"")</f>
        <v>CO</v>
      </c>
      <c r="AW5" s="120" t="s">
        <v>12</v>
      </c>
      <c r="AX5" s="80">
        <f>IF(LEN(AY5)&gt;0,VLOOKUP(AY5,'1. Lists'!$BU$3:$BW$5,3,FALSE),"")</f>
        <v>2</v>
      </c>
      <c r="AY5" s="138" t="s">
        <v>82</v>
      </c>
      <c r="AZ5" s="139">
        <v>100</v>
      </c>
      <c r="BA5" s="82">
        <f t="shared" ref="BA5:BA57" si="0">IF(LEN(AZ5)&gt;0,AZ5,"")</f>
        <v>100</v>
      </c>
      <c r="BC5" s="141">
        <v>0</v>
      </c>
      <c r="BD5" s="141">
        <v>0</v>
      </c>
      <c r="BE5" s="141">
        <v>0</v>
      </c>
      <c r="BF5" s="141">
        <v>0</v>
      </c>
      <c r="BG5" s="141">
        <v>0</v>
      </c>
      <c r="BH5" s="141">
        <v>0</v>
      </c>
      <c r="BI5" s="141">
        <v>0</v>
      </c>
      <c r="BJ5" s="141">
        <v>0</v>
      </c>
      <c r="BK5" s="141">
        <v>0</v>
      </c>
      <c r="BL5" s="141">
        <v>0</v>
      </c>
      <c r="BM5" s="141">
        <v>0</v>
      </c>
      <c r="BN5" s="141">
        <v>100</v>
      </c>
      <c r="BP5" s="66">
        <f t="shared" ref="BP5:BP57" si="1">MAX(BC5:BN5)</f>
        <v>100</v>
      </c>
      <c r="BQ5" s="66">
        <f t="shared" ref="BQ5:BQ57" si="2">SUM(BC5:BN5)</f>
        <v>100</v>
      </c>
      <c r="BR5" s="66">
        <f t="shared" ref="BR5:BR57" si="3">IF(SUM(BC5:BN5)&gt;0,SUM(BC5:BN5)/COUNTIF(BC5:BN5,"&gt;0"),0)</f>
        <v>100</v>
      </c>
      <c r="BS5" s="66">
        <v>0</v>
      </c>
      <c r="BU5" s="66">
        <f t="shared" ref="BU5:BU57" si="4">IF(SUM(BC5:BN5)&gt;0,SUM(BC5:BN5)/COUNTIF(BC5:BN5,"&gt;0"),0)</f>
        <v>100</v>
      </c>
      <c r="BV5" s="66">
        <f t="shared" ref="BV5:BV57" si="5">IF(BN5&gt;0,BN5,IF(BM5&gt;0,BM5,IF(BL5&gt;0,BL5,IF(BK5&gt;0,BK5,IF(BJ5&gt;0,BJ5,IF(BI5&gt;0,BI5,IF(BH5&gt;0,BH5,IF(BG5&gt;0,BG5,IF(BF5&gt;0,BF5,IF(BE5&gt;0,BE5,IF(BD5&gt;0,BD5,BC5)))))))))))</f>
        <v>100</v>
      </c>
      <c r="BW5" s="66">
        <f t="shared" ref="BW5:BW57" si="6">IF(BN5&gt;0,BN5,IF(BM5&gt;0,BM5,IF(BL5&gt;0,BL5,IF(BK5&gt;0,BK5,IF(BJ5&gt;0,BJ5,IF(BI5&gt;0,BI5,IF(BH5&gt;0,BH5,IF(BG5&gt;0,BG5,IF(BF5&gt;0,BF5,IF(BE5&gt;0,BE5,IF(BD5&gt;0,BD5,BC5)))))))))))</f>
        <v>100</v>
      </c>
    </row>
    <row r="6" spans="1:75" s="157" customFormat="1" ht="75" x14ac:dyDescent="0.25">
      <c r="A6" s="92">
        <f t="shared" ref="A6:A58" si="7">IF(COUNTBLANK(B6:BN6)&lt;65,A5+1,0)</f>
        <v>3</v>
      </c>
      <c r="B6" s="66">
        <f>IF(LEN(D6)&gt;0,VLOOKUP(D6,'1. Lists'!$E$3:$J$52,6,FALSE),"")</f>
        <v>1</v>
      </c>
      <c r="C6" s="66" t="str">
        <f>IF(LEN(D6)&gt;0,VLOOKUP(D6,'1. Lists'!$E$3:$F$52,2,FALSE),"")</f>
        <v>Office of the Municipal Manager</v>
      </c>
      <c r="D6" s="120" t="s">
        <v>362</v>
      </c>
      <c r="E6" s="121"/>
      <c r="F6" s="65" t="str">
        <f>IF(E6&gt;0,VLOOKUP(E6,'2. Top Layer'!$A:$C,3,FALSE),"")</f>
        <v/>
      </c>
      <c r="G6" s="65" t="str">
        <f>IF(E6&gt;0,VLOOKUP(E6,'2. Top Layer'!$A:$T,17,FALSE),"")</f>
        <v/>
      </c>
      <c r="H6" s="66">
        <f>IF(LEN(I6)&gt;0,VLOOKUP(I6,'1. Lists'!$T:$U,2,FALSE),"")</f>
        <v>63</v>
      </c>
      <c r="I6" s="122" t="s">
        <v>441</v>
      </c>
      <c r="J6" s="123"/>
      <c r="K6" s="66">
        <f>IF(LEN(L6)&gt;0,VLOOKUP(L6,'1. Lists'!$AK:$AL,2,FALSE),"")</f>
        <v>9</v>
      </c>
      <c r="L6" s="124" t="s">
        <v>159</v>
      </c>
      <c r="M6" s="70">
        <f>IF(LEN(N6)&gt;0,VLOOKUP(N6,'1. Lists'!$AN:$AQ,4,FALSE),"")</f>
        <v>2</v>
      </c>
      <c r="N6" s="125" t="s">
        <v>382</v>
      </c>
      <c r="O6" s="66">
        <f>IF(LEN(P6)&gt;0,VLOOKUP(P6,'1. Lists'!$AA:$AC,3,FALSE),"")</f>
        <v>5</v>
      </c>
      <c r="P6" s="134" t="s">
        <v>42</v>
      </c>
      <c r="Q6" s="73">
        <f>IF(LEN(R6)&gt;0,VLOOKUP(R6,'1. Lists'!$W:$Y,3,FALSE),"")</f>
        <v>1</v>
      </c>
      <c r="R6" s="127" t="s">
        <v>169</v>
      </c>
      <c r="S6" s="73">
        <f>IF(LEN(T6)&gt;0,VLOOKUP(T6,'1. Lists'!$AH:$AI,2,FALSE),"")</f>
        <v>13</v>
      </c>
      <c r="T6" s="146" t="s">
        <v>398</v>
      </c>
      <c r="U6" s="76">
        <f>IF(LEN(V6)&gt;0,VLOOKUP(V6,'1. Lists'!$AE:$AF,2,FALSE),"")</f>
        <v>11</v>
      </c>
      <c r="V6" s="129" t="s">
        <v>355</v>
      </c>
      <c r="W6" s="147"/>
      <c r="X6" s="148" t="s">
        <v>759</v>
      </c>
      <c r="Y6" s="149" t="s">
        <v>759</v>
      </c>
      <c r="Z6" s="150" t="s">
        <v>760</v>
      </c>
      <c r="AA6" s="150" t="s">
        <v>761</v>
      </c>
      <c r="AB6" s="66">
        <f>IF(LEN(AC6)&gt;0,VLOOKUP(AC6,'1. Lists'!$AV$3:$AX$7,3,FALSE),"")</f>
        <v>4</v>
      </c>
      <c r="AC6" s="151" t="s">
        <v>52</v>
      </c>
      <c r="AD6" s="66">
        <f>IF(LEN(AE6)&gt;0,VLOOKUP(AE6,'1. Lists'!$AZ$3:$BB$7,3,FALSE),"")</f>
        <v>1</v>
      </c>
      <c r="AE6" s="152" t="s">
        <v>15</v>
      </c>
      <c r="AF6" s="153"/>
      <c r="AG6" s="153"/>
      <c r="AH6" s="80">
        <f>IF(LEN(AI6)&gt;0,VLOOKUP(AI6,'1. Lists'!$BD$3:$BF$15,3,FALSE),"")</f>
        <v>5</v>
      </c>
      <c r="AI6" s="142" t="s">
        <v>340</v>
      </c>
      <c r="AJ6" s="143" t="s">
        <v>68</v>
      </c>
      <c r="AK6" s="144" t="s">
        <v>461</v>
      </c>
      <c r="AL6" s="125" t="s">
        <v>362</v>
      </c>
      <c r="AM6" s="136" t="s">
        <v>762</v>
      </c>
      <c r="AN6" s="153"/>
      <c r="AO6" s="154" t="s">
        <v>763</v>
      </c>
      <c r="AP6" s="154" t="s">
        <v>764</v>
      </c>
      <c r="AQ6" s="153"/>
      <c r="AR6" s="153"/>
      <c r="AS6" s="153"/>
      <c r="AT6" s="153"/>
      <c r="AU6" s="135" t="s">
        <v>460</v>
      </c>
      <c r="AV6" s="80" t="str">
        <f>IF(LEN(AW6)&gt;0,VLOOKUP(AW6,'1. Lists'!$BQ:$BR,2,FALSE),"")</f>
        <v>ACC</v>
      </c>
      <c r="AW6" s="151" t="s">
        <v>14</v>
      </c>
      <c r="AX6" s="80">
        <f>IF(LEN(AY6)&gt;0,VLOOKUP(AY6,'1. Lists'!$BU$3:$BW$5,3,FALSE),"")</f>
        <v>3</v>
      </c>
      <c r="AY6" s="152" t="s">
        <v>83</v>
      </c>
      <c r="AZ6" s="155">
        <v>3</v>
      </c>
      <c r="BA6" s="156">
        <f>IF(LEN(AZ6)&gt;0,AZ6,"")</f>
        <v>3</v>
      </c>
      <c r="BC6" s="158">
        <v>3</v>
      </c>
      <c r="BD6" s="158">
        <v>0</v>
      </c>
      <c r="BE6" s="158">
        <v>0</v>
      </c>
      <c r="BF6" s="158">
        <v>0</v>
      </c>
      <c r="BG6" s="158">
        <v>0</v>
      </c>
      <c r="BH6" s="158">
        <v>0</v>
      </c>
      <c r="BI6" s="158">
        <v>0</v>
      </c>
      <c r="BJ6" s="158">
        <v>0</v>
      </c>
      <c r="BK6" s="158">
        <v>0</v>
      </c>
      <c r="BL6" s="158">
        <v>0</v>
      </c>
      <c r="BM6" s="158">
        <v>0</v>
      </c>
      <c r="BN6" s="158">
        <v>0</v>
      </c>
      <c r="BP6" s="80">
        <f>MAX(BC6:BN6)</f>
        <v>3</v>
      </c>
      <c r="BQ6" s="80">
        <f>SUM(BC6:BN6)</f>
        <v>3</v>
      </c>
      <c r="BR6" s="80">
        <f>IF(SUM(BC6:BN6)&gt;0,SUM(BC6:BN6)/COUNTIF(BC6:BN6,"&gt;0"),0)</f>
        <v>3</v>
      </c>
      <c r="BS6" s="80">
        <v>0</v>
      </c>
      <c r="BT6" s="80"/>
      <c r="BU6" s="80">
        <f>IF(SUM(BC6:BN6)&gt;0,SUM(BC6:BN6)/COUNTIF(BC6:BN6,"&gt;0"),0)</f>
        <v>3</v>
      </c>
      <c r="BV6" s="80">
        <f>IF(BN6&gt;0,BN6,IF(BM6&gt;0,BM6,IF(BL6&gt;0,BL6,IF(BK6&gt;0,BK6,IF(BJ6&gt;0,BJ6,IF(BI6&gt;0,BI6,IF(BH6&gt;0,BH6,IF(BG6&gt;0,BG6,IF(BF6&gt;0,BF6,IF(BE6&gt;0,BE6,IF(BD6&gt;0,BD6,BC6)))))))))))</f>
        <v>3</v>
      </c>
      <c r="BW6" s="80">
        <f>IF(BN6&gt;0,BN6,IF(BM6&gt;0,BM6,IF(BL6&gt;0,BL6,IF(BK6&gt;0,BK6,IF(BJ6&gt;0,BJ6,IF(BI6&gt;0,BI6,IF(BH6&gt;0,BH6,IF(BG6&gt;0,BG6,IF(BF6&gt;0,BF6,IF(BE6&gt;0,BE6,IF(BD6&gt;0,BD6,BC6)))))))))))</f>
        <v>3</v>
      </c>
    </row>
    <row r="7" spans="1:75" s="157" customFormat="1" ht="75" x14ac:dyDescent="0.25">
      <c r="A7" s="92">
        <f t="shared" si="7"/>
        <v>4</v>
      </c>
      <c r="B7" s="66">
        <f>IF(LEN(D7)&gt;0,VLOOKUP(D7,'1. Lists'!$E$3:$J$52,6,FALSE),"")</f>
        <v>1</v>
      </c>
      <c r="C7" s="66" t="str">
        <f>IF(LEN(D7)&gt;0,VLOOKUP(D7,'1. Lists'!$E$3:$F$52,2,FALSE),"")</f>
        <v>Office of the Municipal Manager</v>
      </c>
      <c r="D7" s="120" t="s">
        <v>362</v>
      </c>
      <c r="E7" s="121"/>
      <c r="F7" s="65" t="str">
        <f>IF(E7&gt;0,VLOOKUP(E7,'2. Top Layer'!$A:$C,3,FALSE),"")</f>
        <v/>
      </c>
      <c r="G7" s="65" t="str">
        <f>IF(E7&gt;0,VLOOKUP(E7,'2. Top Layer'!$A:$T,17,FALSE),"")</f>
        <v/>
      </c>
      <c r="H7" s="66">
        <f>IF(LEN(I7)&gt;0,VLOOKUP(I7,'1. Lists'!$T:$U,2,FALSE),"")</f>
        <v>63</v>
      </c>
      <c r="I7" s="122" t="s">
        <v>441</v>
      </c>
      <c r="J7" s="123"/>
      <c r="K7" s="66">
        <f>IF(LEN(L7)&gt;0,VLOOKUP(L7,'1. Lists'!$AK:$AL,2,FALSE),"")</f>
        <v>9</v>
      </c>
      <c r="L7" s="124" t="s">
        <v>159</v>
      </c>
      <c r="M7" s="70">
        <f>IF(LEN(N7)&gt;0,VLOOKUP(N7,'1. Lists'!$AN:$AQ,4,FALSE),"")</f>
        <v>2</v>
      </c>
      <c r="N7" s="125" t="s">
        <v>382</v>
      </c>
      <c r="O7" s="66">
        <f>IF(LEN(P7)&gt;0,VLOOKUP(P7,'1. Lists'!$AA:$AC,3,FALSE),"")</f>
        <v>5</v>
      </c>
      <c r="P7" s="134" t="s">
        <v>42</v>
      </c>
      <c r="Q7" s="73">
        <f>IF(LEN(R7)&gt;0,VLOOKUP(R7,'1. Lists'!$W:$Y,3,FALSE),"")</f>
        <v>1</v>
      </c>
      <c r="R7" s="127" t="s">
        <v>169</v>
      </c>
      <c r="S7" s="73">
        <f>IF(LEN(T7)&gt;0,VLOOKUP(T7,'1. Lists'!$AH:$AI,2,FALSE),"")</f>
        <v>13</v>
      </c>
      <c r="T7" s="146" t="s">
        <v>398</v>
      </c>
      <c r="U7" s="76">
        <f>IF(LEN(V7)&gt;0,VLOOKUP(V7,'1. Lists'!$AE:$AF,2,FALSE),"")</f>
        <v>11</v>
      </c>
      <c r="V7" s="129" t="s">
        <v>355</v>
      </c>
      <c r="W7" s="147"/>
      <c r="X7" s="148" t="s">
        <v>759</v>
      </c>
      <c r="Y7" s="149" t="s">
        <v>759</v>
      </c>
      <c r="Z7" s="150" t="s">
        <v>827</v>
      </c>
      <c r="AA7" s="150" t="s">
        <v>765</v>
      </c>
      <c r="AB7" s="66">
        <f>IF(LEN(AC7)&gt;0,VLOOKUP(AC7,'1. Lists'!$AV$3:$AX$7,3,FALSE),"")</f>
        <v>2</v>
      </c>
      <c r="AC7" s="151" t="s">
        <v>13</v>
      </c>
      <c r="AD7" s="66">
        <f>IF(LEN(AE7)&gt;0,VLOOKUP(AE7,'1. Lists'!$AZ$3:$BB$7,3,FALSE),"")</f>
        <v>1</v>
      </c>
      <c r="AE7" s="152" t="s">
        <v>15</v>
      </c>
      <c r="AF7" s="153"/>
      <c r="AG7" s="153"/>
      <c r="AH7" s="80">
        <f>IF(LEN(AI7)&gt;0,VLOOKUP(AI7,'1. Lists'!$BD$3:$BF$15,3,FALSE),"")</f>
        <v>5</v>
      </c>
      <c r="AI7" s="142" t="s">
        <v>340</v>
      </c>
      <c r="AJ7" s="143" t="s">
        <v>68</v>
      </c>
      <c r="AK7" s="144" t="s">
        <v>461</v>
      </c>
      <c r="AL7" s="125" t="s">
        <v>362</v>
      </c>
      <c r="AM7" s="136" t="s">
        <v>762</v>
      </c>
      <c r="AN7" s="153"/>
      <c r="AO7" s="154" t="s">
        <v>766</v>
      </c>
      <c r="AP7" s="154" t="s">
        <v>767</v>
      </c>
      <c r="AQ7" s="153"/>
      <c r="AR7" s="153"/>
      <c r="AS7" s="153"/>
      <c r="AT7" s="153"/>
      <c r="AU7" s="135" t="s">
        <v>460</v>
      </c>
      <c r="AV7" s="80" t="str">
        <f>IF(LEN(AW7)&gt;0,VLOOKUP(AW7,'1. Lists'!$BQ:$BR,2,FALSE),"")</f>
        <v>CO</v>
      </c>
      <c r="AW7" s="151" t="s">
        <v>12</v>
      </c>
      <c r="AX7" s="80">
        <f>IF(LEN(AY7)&gt;0,VLOOKUP(AY7,'1. Lists'!$BU$3:$BW$5,3,FALSE),"")</f>
        <v>3</v>
      </c>
      <c r="AY7" s="152" t="s">
        <v>83</v>
      </c>
      <c r="AZ7" s="155">
        <v>1</v>
      </c>
      <c r="BA7" s="159">
        <f t="shared" ref="BA7:BA11" si="8">IF(LEN(AZ7)&gt;0,AZ7,"")</f>
        <v>1</v>
      </c>
      <c r="BC7" s="158">
        <v>0</v>
      </c>
      <c r="BD7" s="158">
        <v>0</v>
      </c>
      <c r="BE7" s="158">
        <v>0</v>
      </c>
      <c r="BF7" s="158">
        <v>0</v>
      </c>
      <c r="BG7" s="158">
        <v>0</v>
      </c>
      <c r="BH7" s="158">
        <v>0</v>
      </c>
      <c r="BI7" s="158">
        <v>0</v>
      </c>
      <c r="BJ7" s="158">
        <v>0</v>
      </c>
      <c r="BK7" s="158">
        <v>0</v>
      </c>
      <c r="BL7" s="158">
        <v>0</v>
      </c>
      <c r="BM7" s="158">
        <v>0</v>
      </c>
      <c r="BN7" s="158">
        <v>1</v>
      </c>
      <c r="BP7" s="80">
        <f t="shared" ref="BP7:BP11" si="9">MAX(BC7:BN7)</f>
        <v>1</v>
      </c>
      <c r="BQ7" s="80">
        <f t="shared" ref="BQ7:BQ11" si="10">SUM(BC7:BN7)</f>
        <v>1</v>
      </c>
      <c r="BR7" s="80">
        <f t="shared" ref="BR7:BR11" si="11">IF(SUM(BC7:BN7)&gt;0,SUM(BC7:BN7)/COUNTIF(BC7:BN7,"&gt;0"),0)</f>
        <v>1</v>
      </c>
      <c r="BS7" s="80">
        <v>0</v>
      </c>
      <c r="BT7" s="80"/>
      <c r="BU7" s="80">
        <f t="shared" ref="BU7:BU11" si="12">IF(SUM(BC7:BN7)&gt;0,SUM(BC7:BN7)/COUNTIF(BC7:BN7,"&gt;0"),0)</f>
        <v>1</v>
      </c>
      <c r="BV7" s="80">
        <f t="shared" ref="BV7:BV11" si="13">IF(BN7&gt;0,BN7,IF(BM7&gt;0,BM7,IF(BL7&gt;0,BL7,IF(BK7&gt;0,BK7,IF(BJ7&gt;0,BJ7,IF(BI7&gt;0,BI7,IF(BH7&gt;0,BH7,IF(BG7&gt;0,BG7,IF(BF7&gt;0,BF7,IF(BE7&gt;0,BE7,IF(BD7&gt;0,BD7,BC7)))))))))))</f>
        <v>1</v>
      </c>
      <c r="BW7" s="80">
        <f t="shared" ref="BW7:BW11" si="14">IF(BN7&gt;0,BN7,IF(BM7&gt;0,BM7,IF(BL7&gt;0,BL7,IF(BK7&gt;0,BK7,IF(BJ7&gt;0,BJ7,IF(BI7&gt;0,BI7,IF(BH7&gt;0,BH7,IF(BG7&gt;0,BG7,IF(BF7&gt;0,BF7,IF(BE7&gt;0,BE7,IF(BD7&gt;0,BD7,BC7)))))))))))</f>
        <v>1</v>
      </c>
    </row>
    <row r="8" spans="1:75" s="157" customFormat="1" ht="75" x14ac:dyDescent="0.25">
      <c r="A8" s="92">
        <f t="shared" si="7"/>
        <v>5</v>
      </c>
      <c r="B8" s="66">
        <f>IF(LEN(D8)&gt;0,VLOOKUP(D8,'1. Lists'!$E$3:$J$52,6,FALSE),"")</f>
        <v>1</v>
      </c>
      <c r="C8" s="66" t="str">
        <f>IF(LEN(D8)&gt;0,VLOOKUP(D8,'1. Lists'!$E$3:$F$52,2,FALSE),"")</f>
        <v>Office of the Municipal Manager</v>
      </c>
      <c r="D8" s="120" t="s">
        <v>362</v>
      </c>
      <c r="E8" s="121"/>
      <c r="F8" s="65" t="str">
        <f>IF(E8&gt;0,VLOOKUP(E8,'2. Top Layer'!$A:$C,3,FALSE),"")</f>
        <v/>
      </c>
      <c r="G8" s="65" t="str">
        <f>IF(E8&gt;0,VLOOKUP(E8,'2. Top Layer'!$A:$T,17,FALSE),"")</f>
        <v/>
      </c>
      <c r="H8" s="66">
        <f>IF(LEN(I8)&gt;0,VLOOKUP(I8,'1. Lists'!$T:$U,2,FALSE),"")</f>
        <v>63</v>
      </c>
      <c r="I8" s="122" t="s">
        <v>441</v>
      </c>
      <c r="J8" s="123"/>
      <c r="K8" s="66">
        <f>IF(LEN(L8)&gt;0,VLOOKUP(L8,'1. Lists'!$AK:$AL,2,FALSE),"")</f>
        <v>9</v>
      </c>
      <c r="L8" s="124" t="s">
        <v>159</v>
      </c>
      <c r="M8" s="70">
        <f>IF(LEN(N8)&gt;0,VLOOKUP(N8,'1. Lists'!$AN:$AQ,4,FALSE),"")</f>
        <v>2</v>
      </c>
      <c r="N8" s="125" t="s">
        <v>382</v>
      </c>
      <c r="O8" s="66">
        <f>IF(LEN(P8)&gt;0,VLOOKUP(P8,'1. Lists'!$AA:$AC,3,FALSE),"")</f>
        <v>5</v>
      </c>
      <c r="P8" s="134" t="s">
        <v>42</v>
      </c>
      <c r="Q8" s="73">
        <f>IF(LEN(R8)&gt;0,VLOOKUP(R8,'1. Lists'!$W:$Y,3,FALSE),"")</f>
        <v>1</v>
      </c>
      <c r="R8" s="127" t="s">
        <v>169</v>
      </c>
      <c r="S8" s="73">
        <f>IF(LEN(T8)&gt;0,VLOOKUP(T8,'1. Lists'!$AH:$AI,2,FALSE),"")</f>
        <v>5</v>
      </c>
      <c r="T8" s="146" t="s">
        <v>390</v>
      </c>
      <c r="U8" s="76">
        <f>IF(LEN(V8)&gt;0,VLOOKUP(V8,'1. Lists'!$AE:$AF,2,FALSE),"")</f>
        <v>11</v>
      </c>
      <c r="V8" s="129" t="s">
        <v>355</v>
      </c>
      <c r="W8" s="147"/>
      <c r="X8" s="148" t="s">
        <v>759</v>
      </c>
      <c r="Y8" s="149" t="s">
        <v>759</v>
      </c>
      <c r="Z8" s="150" t="s">
        <v>768</v>
      </c>
      <c r="AA8" s="150" t="s">
        <v>769</v>
      </c>
      <c r="AB8" s="66">
        <f>IF(LEN(AC8)&gt;0,VLOOKUP(AC8,'1. Lists'!$AV$3:$AX$7,3,FALSE),"")</f>
        <v>4</v>
      </c>
      <c r="AC8" s="151" t="s">
        <v>52</v>
      </c>
      <c r="AD8" s="66">
        <f>IF(LEN(AE8)&gt;0,VLOOKUP(AE8,'1. Lists'!$AZ$3:$BB$7,3,FALSE),"")</f>
        <v>1</v>
      </c>
      <c r="AE8" s="152" t="s">
        <v>15</v>
      </c>
      <c r="AF8" s="153"/>
      <c r="AG8" s="153"/>
      <c r="AH8" s="80">
        <f>IF(LEN(AI8)&gt;0,VLOOKUP(AI8,'1. Lists'!$BD$3:$BF$15,3,FALSE),"")</f>
        <v>5</v>
      </c>
      <c r="AI8" s="142" t="s">
        <v>340</v>
      </c>
      <c r="AJ8" s="143" t="s">
        <v>68</v>
      </c>
      <c r="AK8" s="144" t="s">
        <v>461</v>
      </c>
      <c r="AL8" s="125" t="s">
        <v>362</v>
      </c>
      <c r="AM8" s="136" t="s">
        <v>762</v>
      </c>
      <c r="AN8" s="153"/>
      <c r="AO8" s="154" t="s">
        <v>770</v>
      </c>
      <c r="AP8" s="154" t="s">
        <v>771</v>
      </c>
      <c r="AQ8" s="153"/>
      <c r="AR8" s="153"/>
      <c r="AS8" s="153"/>
      <c r="AT8" s="153"/>
      <c r="AU8" s="135" t="s">
        <v>460</v>
      </c>
      <c r="AV8" s="80" t="str">
        <f>IF(LEN(AW8)&gt;0,VLOOKUP(AW8,'1. Lists'!$BQ:$BR,2,FALSE),"")</f>
        <v>ACC</v>
      </c>
      <c r="AW8" s="151" t="s">
        <v>14</v>
      </c>
      <c r="AX8" s="80">
        <f>IF(LEN(AY8)&gt;0,VLOOKUP(AY8,'1. Lists'!$BU$3:$BW$5,3,FALSE),"")</f>
        <v>3</v>
      </c>
      <c r="AY8" s="152" t="s">
        <v>83</v>
      </c>
      <c r="AZ8" s="155">
        <v>2</v>
      </c>
      <c r="BA8" s="159">
        <f t="shared" si="8"/>
        <v>2</v>
      </c>
      <c r="BC8" s="158">
        <v>0</v>
      </c>
      <c r="BD8" s="158">
        <v>0</v>
      </c>
      <c r="BE8" s="158">
        <v>0</v>
      </c>
      <c r="BF8" s="158">
        <v>1</v>
      </c>
      <c r="BG8" s="158">
        <v>0</v>
      </c>
      <c r="BH8" s="158">
        <v>0</v>
      </c>
      <c r="BI8" s="158">
        <v>0</v>
      </c>
      <c r="BJ8" s="158">
        <v>1</v>
      </c>
      <c r="BK8" s="158">
        <v>0</v>
      </c>
      <c r="BL8" s="158">
        <v>0</v>
      </c>
      <c r="BM8" s="158">
        <v>0</v>
      </c>
      <c r="BN8" s="158">
        <v>0</v>
      </c>
      <c r="BP8" s="80">
        <f t="shared" si="9"/>
        <v>1</v>
      </c>
      <c r="BQ8" s="80">
        <f t="shared" si="10"/>
        <v>2</v>
      </c>
      <c r="BR8" s="80">
        <f t="shared" si="11"/>
        <v>1</v>
      </c>
      <c r="BS8" s="80">
        <v>0</v>
      </c>
      <c r="BT8" s="80"/>
      <c r="BU8" s="80">
        <f t="shared" si="12"/>
        <v>1</v>
      </c>
      <c r="BV8" s="80">
        <f t="shared" si="13"/>
        <v>1</v>
      </c>
      <c r="BW8" s="80">
        <f t="shared" si="14"/>
        <v>1</v>
      </c>
    </row>
    <row r="9" spans="1:75" ht="75" x14ac:dyDescent="0.25">
      <c r="A9" s="92">
        <f t="shared" si="7"/>
        <v>6</v>
      </c>
      <c r="B9" s="66">
        <f>IF(LEN(D9)&gt;0,VLOOKUP(D9,'1. Lists'!$E$3:$J$52,6,FALSE),"")</f>
        <v>1</v>
      </c>
      <c r="C9" s="66" t="str">
        <f>IF(LEN(D9)&gt;0,VLOOKUP(D9,'1. Lists'!$E$3:$F$52,2,FALSE),"")</f>
        <v>Office of the Municipal Manager</v>
      </c>
      <c r="D9" s="120" t="s">
        <v>362</v>
      </c>
      <c r="E9" s="121"/>
      <c r="F9" s="65" t="str">
        <f>IF(E9&gt;0,VLOOKUP(E9,'2. Top Layer'!$A:$C,3,FALSE),"")</f>
        <v/>
      </c>
      <c r="G9" s="65" t="str">
        <f>IF(E9&gt;0,VLOOKUP(E9,'2. Top Layer'!$A:$T,17,FALSE),"")</f>
        <v/>
      </c>
      <c r="H9" s="66">
        <f>IF(LEN(I9)&gt;0,VLOOKUP(I9,'1. Lists'!$T:$U,2,FALSE),"")</f>
        <v>63</v>
      </c>
      <c r="I9" s="122" t="s">
        <v>441</v>
      </c>
      <c r="J9" s="123"/>
      <c r="K9" s="66">
        <f>IF(LEN(L9)&gt;0,VLOOKUP(L9,'1. Lists'!$AK:$AL,2,FALSE),"")</f>
        <v>9</v>
      </c>
      <c r="L9" s="124" t="s">
        <v>159</v>
      </c>
      <c r="M9" s="70">
        <f>IF(LEN(N9)&gt;0,VLOOKUP(N9,'1. Lists'!$AN:$AQ,4,FALSE),"")</f>
        <v>2</v>
      </c>
      <c r="N9" s="125" t="s">
        <v>382</v>
      </c>
      <c r="O9" s="66">
        <f>IF(LEN(P9)&gt;0,VLOOKUP(P9,'1. Lists'!$AA:$AC,3,FALSE),"")</f>
        <v>5</v>
      </c>
      <c r="P9" s="134" t="s">
        <v>42</v>
      </c>
      <c r="Q9" s="73">
        <f>IF(LEN(R9)&gt;0,VLOOKUP(R9,'1. Lists'!$W:$Y,3,FALSE),"")</f>
        <v>1</v>
      </c>
      <c r="R9" s="127" t="s">
        <v>169</v>
      </c>
      <c r="S9" s="73">
        <f>IF(LEN(T9)&gt;0,VLOOKUP(T9,'1. Lists'!$AH:$AI,2,FALSE),"")</f>
        <v>5</v>
      </c>
      <c r="T9" s="146" t="s">
        <v>390</v>
      </c>
      <c r="U9" s="76">
        <f>IF(LEN(V9)&gt;0,VLOOKUP(V9,'1. Lists'!$AE:$AF,2,FALSE),"")</f>
        <v>11</v>
      </c>
      <c r="V9" s="129" t="s">
        <v>355</v>
      </c>
      <c r="W9" s="130"/>
      <c r="X9" s="148" t="s">
        <v>759</v>
      </c>
      <c r="Y9" s="149" t="s">
        <v>759</v>
      </c>
      <c r="Z9" s="132" t="s">
        <v>772</v>
      </c>
      <c r="AA9" s="132" t="s">
        <v>773</v>
      </c>
      <c r="AB9" s="66">
        <f>IF(LEN(AC9)&gt;0,VLOOKUP(AC9,'1. Lists'!$AV$3:$AX$7,3,FALSE),"")</f>
        <v>1</v>
      </c>
      <c r="AC9" s="133" t="s">
        <v>8</v>
      </c>
      <c r="AD9" s="66">
        <f>IF(LEN(AE9)&gt;0,VLOOKUP(AE9,'1. Lists'!$AZ$3:$BB$7,3,FALSE),"")</f>
        <v>2</v>
      </c>
      <c r="AE9" s="122" t="s">
        <v>9</v>
      </c>
      <c r="AF9" s="123"/>
      <c r="AG9" s="123"/>
      <c r="AH9" s="80">
        <f>IF(LEN(AI9)&gt;0,VLOOKUP(AI9,'1. Lists'!$BD$3:$BF$15,3,FALSE),"")</f>
        <v>5</v>
      </c>
      <c r="AI9" s="142" t="s">
        <v>340</v>
      </c>
      <c r="AJ9" s="143" t="s">
        <v>68</v>
      </c>
      <c r="AK9" s="144" t="s">
        <v>461</v>
      </c>
      <c r="AL9" s="125" t="s">
        <v>362</v>
      </c>
      <c r="AM9" s="136" t="s">
        <v>762</v>
      </c>
      <c r="AN9" s="123"/>
      <c r="AO9" s="154" t="s">
        <v>587</v>
      </c>
      <c r="AP9" s="160" t="s">
        <v>774</v>
      </c>
      <c r="AQ9" s="123"/>
      <c r="AR9" s="123"/>
      <c r="AS9" s="123"/>
      <c r="AT9" s="123"/>
      <c r="AU9" s="135" t="s">
        <v>460</v>
      </c>
      <c r="AV9" s="80" t="str">
        <f>IF(LEN(AW9)&gt;0,VLOOKUP(AW9,'1. Lists'!$BQ:$BR,2,FALSE),"")</f>
        <v>CO</v>
      </c>
      <c r="AW9" s="120" t="s">
        <v>12</v>
      </c>
      <c r="AX9" s="80">
        <f>IF(LEN(AY9)&gt;0,VLOOKUP(AY9,'1. Lists'!$BU$3:$BW$5,3,FALSE),"")</f>
        <v>3</v>
      </c>
      <c r="AY9" s="138" t="s">
        <v>83</v>
      </c>
      <c r="AZ9" s="155">
        <v>1</v>
      </c>
      <c r="BA9" s="159">
        <f t="shared" si="8"/>
        <v>1</v>
      </c>
      <c r="BC9" s="158">
        <v>0</v>
      </c>
      <c r="BD9" s="158">
        <v>0</v>
      </c>
      <c r="BE9" s="158">
        <v>0</v>
      </c>
      <c r="BF9" s="158">
        <v>0</v>
      </c>
      <c r="BG9" s="158">
        <v>0</v>
      </c>
      <c r="BH9" s="158">
        <v>0</v>
      </c>
      <c r="BI9" s="158">
        <v>0</v>
      </c>
      <c r="BJ9" s="158">
        <v>0</v>
      </c>
      <c r="BK9" s="158">
        <v>0</v>
      </c>
      <c r="BL9" s="158">
        <v>0</v>
      </c>
      <c r="BM9" s="158">
        <v>1</v>
      </c>
      <c r="BN9" s="158">
        <v>0</v>
      </c>
      <c r="BP9" s="80">
        <f t="shared" si="9"/>
        <v>1</v>
      </c>
      <c r="BQ9" s="80">
        <f t="shared" si="10"/>
        <v>1</v>
      </c>
      <c r="BR9" s="80">
        <f t="shared" si="11"/>
        <v>1</v>
      </c>
      <c r="BS9" s="80">
        <v>0</v>
      </c>
      <c r="BT9" s="80"/>
      <c r="BU9" s="80">
        <f t="shared" si="12"/>
        <v>1</v>
      </c>
      <c r="BV9" s="80">
        <f t="shared" si="13"/>
        <v>1</v>
      </c>
      <c r="BW9" s="80">
        <f t="shared" si="14"/>
        <v>1</v>
      </c>
    </row>
    <row r="10" spans="1:75" ht="75" x14ac:dyDescent="0.25">
      <c r="A10" s="92">
        <f t="shared" si="7"/>
        <v>7</v>
      </c>
      <c r="B10" s="66">
        <f>IF(LEN(D10)&gt;0,VLOOKUP(D10,'1. Lists'!$E$3:$J$52,6,FALSE),"")</f>
        <v>1</v>
      </c>
      <c r="C10" s="66" t="str">
        <f>IF(LEN(D10)&gt;0,VLOOKUP(D10,'1. Lists'!$E$3:$F$52,2,FALSE),"")</f>
        <v>Office of the Municipal Manager</v>
      </c>
      <c r="D10" s="120" t="s">
        <v>362</v>
      </c>
      <c r="E10" s="121"/>
      <c r="F10" s="65" t="str">
        <f>IF(E10&gt;0,VLOOKUP(E10,'2. Top Layer'!$A:$C,3,FALSE),"")</f>
        <v/>
      </c>
      <c r="G10" s="65" t="str">
        <f>IF(E10&gt;0,VLOOKUP(E10,'2. Top Layer'!$A:$T,17,FALSE),"")</f>
        <v/>
      </c>
      <c r="H10" s="66">
        <f>IF(LEN(I10)&gt;0,VLOOKUP(I10,'1. Lists'!$T:$U,2,FALSE),"")</f>
        <v>63</v>
      </c>
      <c r="I10" s="122" t="s">
        <v>441</v>
      </c>
      <c r="J10" s="123"/>
      <c r="K10" s="66">
        <f>IF(LEN(L10)&gt;0,VLOOKUP(L10,'1. Lists'!$AK:$AL,2,FALSE),"")</f>
        <v>9</v>
      </c>
      <c r="L10" s="124" t="s">
        <v>159</v>
      </c>
      <c r="M10" s="70">
        <f>IF(LEN(N10)&gt;0,VLOOKUP(N10,'1. Lists'!$AN:$AQ,4,FALSE),"")</f>
        <v>2</v>
      </c>
      <c r="N10" s="125" t="s">
        <v>382</v>
      </c>
      <c r="O10" s="66">
        <f>IF(LEN(P10)&gt;0,VLOOKUP(P10,'1. Lists'!$AA:$AC,3,FALSE),"")</f>
        <v>5</v>
      </c>
      <c r="P10" s="134" t="s">
        <v>42</v>
      </c>
      <c r="Q10" s="73">
        <f>IF(LEN(R10)&gt;0,VLOOKUP(R10,'1. Lists'!$W:$Y,3,FALSE),"")</f>
        <v>1</v>
      </c>
      <c r="R10" s="127" t="s">
        <v>169</v>
      </c>
      <c r="S10" s="73">
        <f>IF(LEN(T10)&gt;0,VLOOKUP(T10,'1. Lists'!$AH:$AI,2,FALSE),"")</f>
        <v>13</v>
      </c>
      <c r="T10" s="146" t="s">
        <v>398</v>
      </c>
      <c r="U10" s="76">
        <f>IF(LEN(V10)&gt;0,VLOOKUP(V10,'1. Lists'!$AE:$AF,2,FALSE),"")</f>
        <v>11</v>
      </c>
      <c r="V10" s="129" t="s">
        <v>355</v>
      </c>
      <c r="W10" s="130"/>
      <c r="X10" s="148" t="s">
        <v>759</v>
      </c>
      <c r="Y10" s="149" t="s">
        <v>759</v>
      </c>
      <c r="Z10" s="132" t="s">
        <v>828</v>
      </c>
      <c r="AA10" s="132" t="s">
        <v>776</v>
      </c>
      <c r="AB10" s="66">
        <f>IF(LEN(AC10)&gt;0,VLOOKUP(AC10,'1. Lists'!$AV$3:$AX$7,3,FALSE),"")</f>
        <v>2</v>
      </c>
      <c r="AC10" s="133" t="s">
        <v>13</v>
      </c>
      <c r="AD10" s="66">
        <f>IF(LEN(AE10)&gt;0,VLOOKUP(AE10,'1. Lists'!$AZ$3:$BB$7,3,FALSE),"")</f>
        <v>2</v>
      </c>
      <c r="AE10" s="122" t="s">
        <v>9</v>
      </c>
      <c r="AF10" s="123"/>
      <c r="AG10" s="123"/>
      <c r="AH10" s="80">
        <f>IF(LEN(AI10)&gt;0,VLOOKUP(AI10,'1. Lists'!$BD$3:$BF$15,3,FALSE),"")</f>
        <v>5</v>
      </c>
      <c r="AI10" s="142" t="s">
        <v>340</v>
      </c>
      <c r="AJ10" s="143" t="s">
        <v>68</v>
      </c>
      <c r="AK10" s="144" t="s">
        <v>461</v>
      </c>
      <c r="AL10" s="125" t="s">
        <v>362</v>
      </c>
      <c r="AM10" s="136" t="s">
        <v>762</v>
      </c>
      <c r="AN10" s="123"/>
      <c r="AO10" s="154" t="s">
        <v>777</v>
      </c>
      <c r="AP10" s="154" t="s">
        <v>778</v>
      </c>
      <c r="AQ10" s="123"/>
      <c r="AR10" s="123"/>
      <c r="AS10" s="123"/>
      <c r="AT10" s="123"/>
      <c r="AU10" s="135" t="s">
        <v>460</v>
      </c>
      <c r="AV10" s="80" t="str">
        <f>IF(LEN(AW10)&gt;0,VLOOKUP(AW10,'1. Lists'!$BQ:$BR,2,FALSE),"")</f>
        <v>STD</v>
      </c>
      <c r="AW10" s="133" t="s">
        <v>78</v>
      </c>
      <c r="AX10" s="80">
        <f>IF(LEN(AY10)&gt;0,VLOOKUP(AY10,'1. Lists'!$BU$3:$BW$5,3,FALSE),"")</f>
        <v>2</v>
      </c>
      <c r="AY10" s="138" t="s">
        <v>82</v>
      </c>
      <c r="AZ10" s="139">
        <v>100</v>
      </c>
      <c r="BA10" s="159">
        <f t="shared" si="8"/>
        <v>100</v>
      </c>
      <c r="BC10" s="158">
        <v>0</v>
      </c>
      <c r="BD10" s="158">
        <v>100</v>
      </c>
      <c r="BE10" s="158">
        <v>0</v>
      </c>
      <c r="BF10" s="158">
        <v>0</v>
      </c>
      <c r="BG10" s="158">
        <v>0</v>
      </c>
      <c r="BH10" s="158">
        <v>0</v>
      </c>
      <c r="BI10" s="158">
        <v>0</v>
      </c>
      <c r="BJ10" s="158">
        <v>0</v>
      </c>
      <c r="BK10" s="158">
        <v>0</v>
      </c>
      <c r="BL10" s="158">
        <v>0</v>
      </c>
      <c r="BM10" s="158">
        <v>0</v>
      </c>
      <c r="BN10" s="158">
        <v>0</v>
      </c>
      <c r="BP10" s="80">
        <f t="shared" si="9"/>
        <v>100</v>
      </c>
      <c r="BQ10" s="80">
        <f t="shared" si="10"/>
        <v>100</v>
      </c>
      <c r="BR10" s="80">
        <f t="shared" si="11"/>
        <v>100</v>
      </c>
      <c r="BS10" s="80">
        <v>0</v>
      </c>
      <c r="BT10" s="80"/>
      <c r="BU10" s="80">
        <f t="shared" si="12"/>
        <v>100</v>
      </c>
      <c r="BV10" s="80">
        <f t="shared" si="13"/>
        <v>100</v>
      </c>
      <c r="BW10" s="80">
        <f t="shared" si="14"/>
        <v>100</v>
      </c>
    </row>
    <row r="11" spans="1:75" ht="75" x14ac:dyDescent="0.25">
      <c r="A11" s="92">
        <f t="shared" si="7"/>
        <v>8</v>
      </c>
      <c r="B11" s="66">
        <f>IF(LEN(D11)&gt;0,VLOOKUP(D11,'1. Lists'!$E$3:$J$52,6,FALSE),"")</f>
        <v>1</v>
      </c>
      <c r="C11" s="66" t="str">
        <f>IF(LEN(D11)&gt;0,VLOOKUP(D11,'1. Lists'!$E$3:$F$52,2,FALSE),"")</f>
        <v>Office of the Municipal Manager</v>
      </c>
      <c r="D11" s="120" t="s">
        <v>362</v>
      </c>
      <c r="E11" s="121"/>
      <c r="F11" s="65" t="str">
        <f>IF(E11&gt;0,VLOOKUP(E11,'2. Top Layer'!$A:$C,3,FALSE),"")</f>
        <v/>
      </c>
      <c r="G11" s="65" t="str">
        <f>IF(E11&gt;0,VLOOKUP(E11,'2. Top Layer'!$A:$T,17,FALSE),"")</f>
        <v/>
      </c>
      <c r="H11" s="66">
        <f>IF(LEN(I11)&gt;0,VLOOKUP(I11,'1. Lists'!$T:$U,2,FALSE),"")</f>
        <v>63</v>
      </c>
      <c r="I11" s="122" t="s">
        <v>441</v>
      </c>
      <c r="J11" s="123"/>
      <c r="K11" s="66">
        <f>IF(LEN(L11)&gt;0,VLOOKUP(L11,'1. Lists'!$AK:$AL,2,FALSE),"")</f>
        <v>9</v>
      </c>
      <c r="L11" s="124" t="s">
        <v>159</v>
      </c>
      <c r="M11" s="70">
        <f>IF(LEN(N11)&gt;0,VLOOKUP(N11,'1. Lists'!$AN:$AQ,4,FALSE),"")</f>
        <v>2</v>
      </c>
      <c r="N11" s="125" t="s">
        <v>382</v>
      </c>
      <c r="O11" s="66">
        <f>IF(LEN(P11)&gt;0,VLOOKUP(P11,'1. Lists'!$AA:$AC,3,FALSE),"")</f>
        <v>5</v>
      </c>
      <c r="P11" s="134" t="s">
        <v>42</v>
      </c>
      <c r="Q11" s="73">
        <f>IF(LEN(R11)&gt;0,VLOOKUP(R11,'1. Lists'!$W:$Y,3,FALSE),"")</f>
        <v>1</v>
      </c>
      <c r="R11" s="127" t="s">
        <v>169</v>
      </c>
      <c r="S11" s="73">
        <f>IF(LEN(T11)&gt;0,VLOOKUP(T11,'1. Lists'!$AH:$AI,2,FALSE),"")</f>
        <v>13</v>
      </c>
      <c r="T11" s="146" t="s">
        <v>398</v>
      </c>
      <c r="U11" s="76">
        <f>IF(LEN(V11)&gt;0,VLOOKUP(V11,'1. Lists'!$AE:$AF,2,FALSE),"")</f>
        <v>11</v>
      </c>
      <c r="V11" s="129" t="s">
        <v>355</v>
      </c>
      <c r="W11" s="130"/>
      <c r="X11" s="148" t="s">
        <v>759</v>
      </c>
      <c r="Y11" s="149" t="s">
        <v>759</v>
      </c>
      <c r="Z11" s="132" t="s">
        <v>779</v>
      </c>
      <c r="AA11" s="132" t="s">
        <v>769</v>
      </c>
      <c r="AB11" s="66">
        <f>IF(LEN(AC11)&gt;0,VLOOKUP(AC11,'1. Lists'!$AV$3:$AX$7,3,FALSE),"")</f>
        <v>2</v>
      </c>
      <c r="AC11" s="133" t="s">
        <v>13</v>
      </c>
      <c r="AD11" s="66">
        <f>IF(LEN(AE11)&gt;0,VLOOKUP(AE11,'1. Lists'!$AZ$3:$BB$7,3,FALSE),"")</f>
        <v>2</v>
      </c>
      <c r="AE11" s="122" t="s">
        <v>9</v>
      </c>
      <c r="AF11" s="123"/>
      <c r="AG11" s="123"/>
      <c r="AH11" s="80">
        <f>IF(LEN(AI11)&gt;0,VLOOKUP(AI11,'1. Lists'!$BD$3:$BF$15,3,FALSE),"")</f>
        <v>5</v>
      </c>
      <c r="AI11" s="142" t="s">
        <v>340</v>
      </c>
      <c r="AJ11" s="143" t="s">
        <v>68</v>
      </c>
      <c r="AK11" s="144" t="s">
        <v>461</v>
      </c>
      <c r="AL11" s="125" t="s">
        <v>362</v>
      </c>
      <c r="AM11" s="136" t="s">
        <v>762</v>
      </c>
      <c r="AN11" s="123"/>
      <c r="AO11" s="136" t="s">
        <v>780</v>
      </c>
      <c r="AP11" s="136" t="s">
        <v>781</v>
      </c>
      <c r="AQ11" s="123"/>
      <c r="AR11" s="123"/>
      <c r="AS11" s="123"/>
      <c r="AT11" s="123"/>
      <c r="AU11" s="135" t="s">
        <v>460</v>
      </c>
      <c r="AV11" s="80" t="str">
        <f>IF(LEN(AW11)&gt;0,VLOOKUP(AW11,'1. Lists'!$BQ:$BR,2,FALSE),"")</f>
        <v>ACC</v>
      </c>
      <c r="AW11" s="133" t="s">
        <v>14</v>
      </c>
      <c r="AX11" s="80">
        <f>IF(LEN(AY11)&gt;0,VLOOKUP(AY11,'1. Lists'!$BU$3:$BW$5,3,FALSE),"")</f>
        <v>3</v>
      </c>
      <c r="AY11" s="138" t="s">
        <v>83</v>
      </c>
      <c r="AZ11" s="139">
        <v>1</v>
      </c>
      <c r="BA11" s="82">
        <f t="shared" si="8"/>
        <v>1</v>
      </c>
      <c r="BC11" s="141">
        <v>0</v>
      </c>
      <c r="BD11" s="141">
        <v>0</v>
      </c>
      <c r="BE11" s="141">
        <v>0</v>
      </c>
      <c r="BF11" s="141">
        <v>0</v>
      </c>
      <c r="BG11" s="141">
        <v>0</v>
      </c>
      <c r="BH11" s="141">
        <v>0</v>
      </c>
      <c r="BI11" s="141">
        <v>0</v>
      </c>
      <c r="BJ11" s="141">
        <v>1</v>
      </c>
      <c r="BK11" s="141">
        <v>0</v>
      </c>
      <c r="BL11" s="141">
        <v>0</v>
      </c>
      <c r="BM11" s="141">
        <v>0</v>
      </c>
      <c r="BN11" s="141">
        <v>0</v>
      </c>
      <c r="BP11" s="80">
        <f t="shared" si="9"/>
        <v>1</v>
      </c>
      <c r="BQ11" s="80">
        <f t="shared" si="10"/>
        <v>1</v>
      </c>
      <c r="BR11" s="80">
        <f t="shared" si="11"/>
        <v>1</v>
      </c>
      <c r="BS11" s="80">
        <v>0</v>
      </c>
      <c r="BT11" s="80"/>
      <c r="BU11" s="80">
        <f t="shared" si="12"/>
        <v>1</v>
      </c>
      <c r="BV11" s="80">
        <f t="shared" si="13"/>
        <v>1</v>
      </c>
      <c r="BW11" s="80">
        <f t="shared" si="14"/>
        <v>1</v>
      </c>
    </row>
    <row r="12" spans="1:75" ht="75" x14ac:dyDescent="0.25">
      <c r="A12" s="92">
        <f t="shared" si="7"/>
        <v>9</v>
      </c>
      <c r="B12" s="66">
        <f>IF(LEN(D12)&gt;0,VLOOKUP(D12,'1. Lists'!$E$3:$J$52,6,FALSE),"")</f>
        <v>3</v>
      </c>
      <c r="C12" s="66" t="str">
        <f>IF(LEN(D12)&gt;0,VLOOKUP(D12,'1. Lists'!$E$3:$F$52,2,FALSE),"")</f>
        <v>Office of the Municipal Manager</v>
      </c>
      <c r="D12" s="120" t="s">
        <v>364</v>
      </c>
      <c r="E12" s="121"/>
      <c r="F12" s="65" t="str">
        <f>IF(E12&gt;0,VLOOKUP(E12,'2. Top Layer'!$A:$C,3,FALSE),"")</f>
        <v/>
      </c>
      <c r="G12" s="65" t="str">
        <f>IF(E12&gt;0,VLOOKUP(E12,'2. Top Layer'!$A:$T,17,FALSE),"")</f>
        <v/>
      </c>
      <c r="H12" s="66">
        <f>IF(LEN(I12)&gt;0,VLOOKUP(I12,'1. Lists'!$T:$U,2,FALSE),"")</f>
        <v>112</v>
      </c>
      <c r="I12" s="122" t="s">
        <v>432</v>
      </c>
      <c r="J12" s="123"/>
      <c r="K12" s="66">
        <f>IF(LEN(L12)&gt;0,VLOOKUP(L12,'1. Lists'!$AK:$AL,2,FALSE),"")</f>
        <v>9</v>
      </c>
      <c r="L12" s="124" t="s">
        <v>159</v>
      </c>
      <c r="M12" s="70">
        <f>IF(LEN(N12)&gt;0,VLOOKUP(N12,'1. Lists'!$AN:$AQ,4,FALSE),"")</f>
        <v>2</v>
      </c>
      <c r="N12" s="125" t="s">
        <v>382</v>
      </c>
      <c r="O12" s="66">
        <f>IF(LEN(P12)&gt;0,VLOOKUP(P12,'1. Lists'!$AA:$AC,3,FALSE),"")</f>
        <v>5</v>
      </c>
      <c r="P12" s="134" t="s">
        <v>42</v>
      </c>
      <c r="Q12" s="73">
        <f>IF(LEN(R12)&gt;0,VLOOKUP(R12,'1. Lists'!$W:$Y,3,FALSE),"")</f>
        <v>1</v>
      </c>
      <c r="R12" s="127" t="s">
        <v>169</v>
      </c>
      <c r="S12" s="73">
        <f>IF(LEN(T12)&gt;0,VLOOKUP(T12,'1. Lists'!$AH:$AI,2,FALSE),"")</f>
        <v>7</v>
      </c>
      <c r="T12" s="128" t="s">
        <v>392</v>
      </c>
      <c r="U12" s="76">
        <f>IF(LEN(V12)&gt;0,VLOOKUP(V12,'1. Lists'!$AE:$AF,2,FALSE),"")</f>
        <v>11</v>
      </c>
      <c r="V12" s="129" t="s">
        <v>355</v>
      </c>
      <c r="W12" s="130"/>
      <c r="X12" s="131" t="str">
        <f>IF(W12&gt;0,VLOOKUP($W12,#REF!,4,FALSE),"")</f>
        <v/>
      </c>
      <c r="Y12" s="78" t="str">
        <f>IF(W12&gt;0,VLOOKUP($W12,#REF!,10,FALSE),"")</f>
        <v/>
      </c>
      <c r="Z12" s="132" t="s">
        <v>782</v>
      </c>
      <c r="AA12" s="132" t="s">
        <v>451</v>
      </c>
      <c r="AB12" s="66">
        <f>IF(LEN(AC12)&gt;0,VLOOKUP(AC12,'1. Lists'!$AV$3:$AX$7,3,FALSE),"")</f>
        <v>4</v>
      </c>
      <c r="AC12" s="133" t="s">
        <v>52</v>
      </c>
      <c r="AD12" s="66">
        <f>IF(LEN(AE12)&gt;0,VLOOKUP(AE12,'1. Lists'!$AZ$3:$BB$7,3,FALSE),"")</f>
        <v>1</v>
      </c>
      <c r="AE12" s="122" t="s">
        <v>15</v>
      </c>
      <c r="AF12" s="123"/>
      <c r="AG12" s="123"/>
      <c r="AH12" s="66">
        <f>IF(LEN(AI12)&gt;0,VLOOKUP(AI12,'1. Lists'!$BD$3:$BF$15,3,FALSE),"")</f>
        <v>5</v>
      </c>
      <c r="AI12" s="127" t="s">
        <v>340</v>
      </c>
      <c r="AJ12" s="134" t="s">
        <v>68</v>
      </c>
      <c r="AK12" s="135" t="s">
        <v>461</v>
      </c>
      <c r="AL12" s="125" t="s">
        <v>428</v>
      </c>
      <c r="AM12" s="136">
        <v>4</v>
      </c>
      <c r="AN12" s="123"/>
      <c r="AO12" s="136" t="s">
        <v>571</v>
      </c>
      <c r="AP12" s="137" t="s">
        <v>459</v>
      </c>
      <c r="AQ12" s="123"/>
      <c r="AR12" s="123"/>
      <c r="AS12" s="123"/>
      <c r="AT12" s="123"/>
      <c r="AU12" s="135" t="s">
        <v>460</v>
      </c>
      <c r="AV12" s="80" t="str">
        <f>IF(LEN(AW12)&gt;0,VLOOKUP(AW12,'1. Lists'!$BQ:$BR,2,FALSE),"")</f>
        <v>ACC</v>
      </c>
      <c r="AW12" s="120" t="s">
        <v>14</v>
      </c>
      <c r="AX12" s="80">
        <f>IF(LEN(AY12)&gt;0,VLOOKUP(AY12,'1. Lists'!$BU$3:$BW$5,3,FALSE),"")</f>
        <v>3</v>
      </c>
      <c r="AY12" s="138" t="s">
        <v>83</v>
      </c>
      <c r="AZ12" s="139">
        <v>4</v>
      </c>
      <c r="BA12" s="82">
        <f t="shared" si="0"/>
        <v>4</v>
      </c>
      <c r="BC12" s="141">
        <v>0</v>
      </c>
      <c r="BD12" s="141">
        <v>0</v>
      </c>
      <c r="BE12" s="141">
        <v>0</v>
      </c>
      <c r="BF12" s="141">
        <v>0</v>
      </c>
      <c r="BG12" s="141">
        <v>0</v>
      </c>
      <c r="BH12" s="141">
        <v>2</v>
      </c>
      <c r="BI12" s="141">
        <v>0</v>
      </c>
      <c r="BJ12" s="141">
        <v>0</v>
      </c>
      <c r="BK12" s="141">
        <v>0</v>
      </c>
      <c r="BL12" s="141">
        <v>0</v>
      </c>
      <c r="BM12" s="141">
        <v>0</v>
      </c>
      <c r="BN12" s="141">
        <v>2</v>
      </c>
      <c r="BP12" s="66">
        <f t="shared" si="1"/>
        <v>2</v>
      </c>
      <c r="BQ12" s="66">
        <f t="shared" si="2"/>
        <v>4</v>
      </c>
      <c r="BR12" s="66">
        <f t="shared" si="3"/>
        <v>2</v>
      </c>
      <c r="BS12" s="66">
        <v>0</v>
      </c>
      <c r="BU12" s="66">
        <f t="shared" si="4"/>
        <v>2</v>
      </c>
      <c r="BV12" s="66">
        <f t="shared" si="5"/>
        <v>2</v>
      </c>
      <c r="BW12" s="66">
        <f t="shared" si="6"/>
        <v>2</v>
      </c>
    </row>
    <row r="13" spans="1:75" ht="75" x14ac:dyDescent="0.25">
      <c r="A13" s="92">
        <f t="shared" si="7"/>
        <v>10</v>
      </c>
      <c r="B13" s="66">
        <f>IF(LEN(D13)&gt;0,VLOOKUP(D13,'1. Lists'!$E$3:$J$52,6,FALSE),"")</f>
        <v>3</v>
      </c>
      <c r="C13" s="66" t="str">
        <f>IF(LEN(D13)&gt;0,VLOOKUP(D13,'1. Lists'!$E$3:$F$52,2,FALSE),"")</f>
        <v>Office of the Municipal Manager</v>
      </c>
      <c r="D13" s="120" t="s">
        <v>364</v>
      </c>
      <c r="E13" s="121"/>
      <c r="F13" s="65" t="str">
        <f>IF(E13&gt;0,VLOOKUP(E13,'2. Top Layer'!$A:$C,3,FALSE),"")</f>
        <v/>
      </c>
      <c r="G13" s="65" t="str">
        <f>IF(E13&gt;0,VLOOKUP(E13,'2. Top Layer'!$A:$T,17,FALSE),"")</f>
        <v/>
      </c>
      <c r="H13" s="66">
        <f>IF(LEN(I13)&gt;0,VLOOKUP(I13,'1. Lists'!$T:$U,2,FALSE),"")</f>
        <v>112</v>
      </c>
      <c r="I13" s="122" t="s">
        <v>432</v>
      </c>
      <c r="J13" s="123"/>
      <c r="K13" s="66">
        <f>IF(LEN(L13)&gt;0,VLOOKUP(L13,'1. Lists'!$AK:$AL,2,FALSE),"")</f>
        <v>9</v>
      </c>
      <c r="L13" s="124" t="s">
        <v>159</v>
      </c>
      <c r="M13" s="70">
        <f>IF(LEN(N13)&gt;0,VLOOKUP(N13,'1. Lists'!$AN:$AQ,4,FALSE),"")</f>
        <v>2</v>
      </c>
      <c r="N13" s="125" t="s">
        <v>382</v>
      </c>
      <c r="O13" s="66">
        <f>IF(LEN(P13)&gt;0,VLOOKUP(P13,'1. Lists'!$AA:$AC,3,FALSE),"")</f>
        <v>5</v>
      </c>
      <c r="P13" s="134" t="s">
        <v>42</v>
      </c>
      <c r="Q13" s="73">
        <f>IF(LEN(R13)&gt;0,VLOOKUP(R13,'1. Lists'!$W:$Y,3,FALSE),"")</f>
        <v>1</v>
      </c>
      <c r="R13" s="127" t="s">
        <v>169</v>
      </c>
      <c r="S13" s="73">
        <f>IF(LEN(T13)&gt;0,VLOOKUP(T13,'1. Lists'!$AH:$AI,2,FALSE),"")</f>
        <v>11</v>
      </c>
      <c r="T13" s="128" t="s">
        <v>396</v>
      </c>
      <c r="U13" s="76">
        <f>IF(LEN(V13)&gt;0,VLOOKUP(V13,'1. Lists'!$AE:$AF,2,FALSE),"")</f>
        <v>11</v>
      </c>
      <c r="V13" s="129" t="s">
        <v>355</v>
      </c>
      <c r="W13" s="130"/>
      <c r="X13" s="131" t="str">
        <f>IF(W13&gt;0,VLOOKUP($W13,#REF!,4,FALSE),"")</f>
        <v/>
      </c>
      <c r="Y13" s="78" t="str">
        <f>IF(W13&gt;0,VLOOKUP($W13,#REF!,10,FALSE),"")</f>
        <v/>
      </c>
      <c r="Z13" s="132" t="s">
        <v>783</v>
      </c>
      <c r="AA13" s="132" t="s">
        <v>784</v>
      </c>
      <c r="AB13" s="66">
        <f>IF(LEN(AC13)&gt;0,VLOOKUP(AC13,'1. Lists'!$AV$3:$AX$7,3,FALSE),"")</f>
        <v>4</v>
      </c>
      <c r="AC13" s="133" t="s">
        <v>52</v>
      </c>
      <c r="AD13" s="66">
        <f>IF(LEN(AE13)&gt;0,VLOOKUP(AE13,'1. Lists'!$AZ$3:$BB$7,3,FALSE),"")</f>
        <v>1</v>
      </c>
      <c r="AE13" s="122" t="s">
        <v>15</v>
      </c>
      <c r="AF13" s="123"/>
      <c r="AG13" s="123"/>
      <c r="AH13" s="66">
        <f>IF(LEN(AI13)&gt;0,VLOOKUP(AI13,'1. Lists'!$BD$3:$BF$15,3,FALSE),"")</f>
        <v>5</v>
      </c>
      <c r="AI13" s="127" t="s">
        <v>340</v>
      </c>
      <c r="AJ13" s="134" t="s">
        <v>68</v>
      </c>
      <c r="AK13" s="135" t="s">
        <v>461</v>
      </c>
      <c r="AL13" s="125" t="s">
        <v>428</v>
      </c>
      <c r="AM13" s="136">
        <v>4</v>
      </c>
      <c r="AN13" s="123"/>
      <c r="AO13" s="136" t="s">
        <v>565</v>
      </c>
      <c r="AP13" s="137" t="s">
        <v>577</v>
      </c>
      <c r="AQ13" s="123"/>
      <c r="AR13" s="123"/>
      <c r="AS13" s="123"/>
      <c r="AT13" s="123"/>
      <c r="AU13" s="135" t="s">
        <v>460</v>
      </c>
      <c r="AV13" s="80" t="str">
        <f>IF(LEN(AW13)&gt;0,VLOOKUP(AW13,'1. Lists'!$BQ:$BR,2,FALSE),"")</f>
        <v>ACC</v>
      </c>
      <c r="AW13" s="120" t="s">
        <v>14</v>
      </c>
      <c r="AX13" s="80">
        <f>IF(LEN(AY13)&gt;0,VLOOKUP(AY13,'1. Lists'!$BU$3:$BW$5,3,FALSE),"")</f>
        <v>3</v>
      </c>
      <c r="AY13" s="138" t="s">
        <v>83</v>
      </c>
      <c r="AZ13" s="139">
        <v>4</v>
      </c>
      <c r="BA13" s="82">
        <f t="shared" si="0"/>
        <v>4</v>
      </c>
      <c r="BC13" s="141">
        <v>1</v>
      </c>
      <c r="BD13" s="141">
        <v>0</v>
      </c>
      <c r="BE13" s="141">
        <v>0</v>
      </c>
      <c r="BF13" s="141">
        <v>1</v>
      </c>
      <c r="BG13" s="141">
        <v>0</v>
      </c>
      <c r="BH13" s="141">
        <v>0</v>
      </c>
      <c r="BI13" s="141">
        <v>1</v>
      </c>
      <c r="BJ13" s="141">
        <v>0</v>
      </c>
      <c r="BK13" s="141">
        <v>0</v>
      </c>
      <c r="BL13" s="141">
        <v>1</v>
      </c>
      <c r="BM13" s="141">
        <v>0</v>
      </c>
      <c r="BN13" s="141">
        <v>0</v>
      </c>
      <c r="BP13" s="66">
        <f t="shared" si="1"/>
        <v>1</v>
      </c>
      <c r="BQ13" s="66">
        <f t="shared" si="2"/>
        <v>4</v>
      </c>
      <c r="BR13" s="66">
        <f t="shared" si="3"/>
        <v>1</v>
      </c>
      <c r="BS13" s="66">
        <v>0</v>
      </c>
      <c r="BU13" s="66">
        <f t="shared" si="4"/>
        <v>1</v>
      </c>
      <c r="BV13" s="66">
        <f t="shared" si="5"/>
        <v>1</v>
      </c>
      <c r="BW13" s="66">
        <f t="shared" si="6"/>
        <v>1</v>
      </c>
    </row>
    <row r="14" spans="1:75" ht="75" x14ac:dyDescent="0.25">
      <c r="A14" s="92">
        <f t="shared" si="7"/>
        <v>11</v>
      </c>
      <c r="B14" s="66">
        <f>IF(LEN(D14)&gt;0,VLOOKUP(D14,'1. Lists'!$E$3:$J$52,6,FALSE),"")</f>
        <v>3</v>
      </c>
      <c r="C14" s="66" t="str">
        <f>IF(LEN(D14)&gt;0,VLOOKUP(D14,'1. Lists'!$E$3:$F$52,2,FALSE),"")</f>
        <v>Office of the Municipal Manager</v>
      </c>
      <c r="D14" s="120" t="s">
        <v>364</v>
      </c>
      <c r="E14" s="121"/>
      <c r="F14" s="65" t="str">
        <f>IF(E14&gt;0,VLOOKUP(E14,'2. Top Layer'!$A:$C,3,FALSE),"")</f>
        <v/>
      </c>
      <c r="G14" s="65" t="str">
        <f>IF(E14&gt;0,VLOOKUP(E14,'2. Top Layer'!$A:$T,17,FALSE),"")</f>
        <v/>
      </c>
      <c r="H14" s="66">
        <f>IF(LEN(I14)&gt;0,VLOOKUP(I14,'1. Lists'!$T:$U,2,FALSE),"")</f>
        <v>112</v>
      </c>
      <c r="I14" s="122" t="s">
        <v>432</v>
      </c>
      <c r="J14" s="123"/>
      <c r="K14" s="66">
        <f>IF(LEN(L14)&gt;0,VLOOKUP(L14,'1. Lists'!$AK:$AL,2,FALSE),"")</f>
        <v>4</v>
      </c>
      <c r="L14" s="124" t="s">
        <v>154</v>
      </c>
      <c r="M14" s="70">
        <f>IF(LEN(N14)&gt;0,VLOOKUP(N14,'1. Lists'!$AN:$AQ,4,FALSE),"")</f>
        <v>4</v>
      </c>
      <c r="N14" s="125" t="s">
        <v>384</v>
      </c>
      <c r="O14" s="66">
        <f>IF(LEN(P14)&gt;0,VLOOKUP(P14,'1. Lists'!$AA:$AC,3,FALSE),"")</f>
        <v>3</v>
      </c>
      <c r="P14" s="134" t="s">
        <v>40</v>
      </c>
      <c r="Q14" s="73">
        <f>IF(LEN(R14)&gt;0,VLOOKUP(R14,'1. Lists'!$W:$Y,3,FALSE),"")</f>
        <v>1</v>
      </c>
      <c r="R14" s="127" t="s">
        <v>169</v>
      </c>
      <c r="S14" s="73">
        <f>IF(LEN(T14)&gt;0,VLOOKUP(T14,'1. Lists'!$AH:$AI,2,FALSE),"")</f>
        <v>20</v>
      </c>
      <c r="T14" s="128" t="s">
        <v>405</v>
      </c>
      <c r="U14" s="76">
        <f>IF(LEN(V14)&gt;0,VLOOKUP(V14,'1. Lists'!$AE:$AF,2,FALSE),"")</f>
        <v>4</v>
      </c>
      <c r="V14" s="129" t="s">
        <v>348</v>
      </c>
      <c r="W14" s="130"/>
      <c r="X14" s="131" t="str">
        <f>IF(W14&gt;0,VLOOKUP($W14,#REF!,4,FALSE),"")</f>
        <v/>
      </c>
      <c r="Y14" s="78" t="str">
        <f>IF(W14&gt;0,VLOOKUP($W14,#REF!,10,FALSE),"")</f>
        <v/>
      </c>
      <c r="Z14" s="132" t="s">
        <v>785</v>
      </c>
      <c r="AA14" s="132" t="s">
        <v>467</v>
      </c>
      <c r="AB14" s="66">
        <f>IF(LEN(AC14)&gt;0,VLOOKUP(AC14,'1. Lists'!$AV$3:$AX$7,3,FALSE),"")</f>
        <v>2</v>
      </c>
      <c r="AC14" s="133" t="s">
        <v>13</v>
      </c>
      <c r="AD14" s="66">
        <f>IF(LEN(AE14)&gt;0,VLOOKUP(AE14,'1. Lists'!$AZ$3:$BB$7,3,FALSE),"")</f>
        <v>1</v>
      </c>
      <c r="AE14" s="122" t="s">
        <v>15</v>
      </c>
      <c r="AF14" s="123"/>
      <c r="AG14" s="123"/>
      <c r="AH14" s="66">
        <f>IF(LEN(AI14)&gt;0,VLOOKUP(AI14,'1. Lists'!$BD$3:$BF$15,3,FALSE),"")</f>
        <v>1</v>
      </c>
      <c r="AI14" s="127" t="s">
        <v>336</v>
      </c>
      <c r="AJ14" s="134" t="s">
        <v>68</v>
      </c>
      <c r="AK14" s="135" t="s">
        <v>461</v>
      </c>
      <c r="AL14" s="125" t="s">
        <v>428</v>
      </c>
      <c r="AM14" s="136">
        <v>3</v>
      </c>
      <c r="AN14" s="123"/>
      <c r="AO14" s="136" t="s">
        <v>572</v>
      </c>
      <c r="AP14" s="137" t="s">
        <v>843</v>
      </c>
      <c r="AQ14" s="123"/>
      <c r="AR14" s="123"/>
      <c r="AS14" s="123"/>
      <c r="AT14" s="123"/>
      <c r="AU14" s="135" t="s">
        <v>460</v>
      </c>
      <c r="AV14" s="80" t="str">
        <f>IF(LEN(AW14)&gt;0,VLOOKUP(AW14,'1. Lists'!$BQ:$BR,2,FALSE),"")</f>
        <v>ACC</v>
      </c>
      <c r="AW14" s="120" t="s">
        <v>14</v>
      </c>
      <c r="AX14" s="80">
        <f>IF(LEN(AY14)&gt;0,VLOOKUP(AY14,'1. Lists'!$BU$3:$BW$5,3,FALSE),"")</f>
        <v>3</v>
      </c>
      <c r="AY14" s="138" t="s">
        <v>83</v>
      </c>
      <c r="AZ14" s="139">
        <v>3</v>
      </c>
      <c r="BA14" s="82">
        <f t="shared" si="0"/>
        <v>3</v>
      </c>
      <c r="BC14" s="141">
        <v>0</v>
      </c>
      <c r="BD14" s="141">
        <v>0</v>
      </c>
      <c r="BE14" s="141">
        <v>0</v>
      </c>
      <c r="BF14" s="141">
        <v>0</v>
      </c>
      <c r="BG14" s="141">
        <v>0</v>
      </c>
      <c r="BH14" s="141">
        <v>0</v>
      </c>
      <c r="BI14" s="141">
        <v>0</v>
      </c>
      <c r="BJ14" s="141">
        <v>0</v>
      </c>
      <c r="BK14" s="141">
        <v>0</v>
      </c>
      <c r="BL14" s="141">
        <v>0</v>
      </c>
      <c r="BM14" s="141">
        <v>0</v>
      </c>
      <c r="BN14" s="141">
        <v>3</v>
      </c>
      <c r="BP14" s="66">
        <f t="shared" si="1"/>
        <v>3</v>
      </c>
      <c r="BQ14" s="66">
        <f t="shared" si="2"/>
        <v>3</v>
      </c>
      <c r="BR14" s="66">
        <f t="shared" si="3"/>
        <v>3</v>
      </c>
      <c r="BS14" s="66">
        <v>0</v>
      </c>
      <c r="BU14" s="66">
        <f t="shared" si="4"/>
        <v>3</v>
      </c>
      <c r="BV14" s="66">
        <f t="shared" si="5"/>
        <v>3</v>
      </c>
      <c r="BW14" s="66">
        <f t="shared" si="6"/>
        <v>3</v>
      </c>
    </row>
    <row r="15" spans="1:75" ht="75" x14ac:dyDescent="0.25">
      <c r="A15" s="92">
        <f t="shared" si="7"/>
        <v>12</v>
      </c>
      <c r="B15" s="66">
        <f>IF(LEN(D15)&gt;0,VLOOKUP(D15,'1. Lists'!$E$3:$J$52,6,FALSE),"")</f>
        <v>3</v>
      </c>
      <c r="C15" s="66" t="str">
        <f>IF(LEN(D15)&gt;0,VLOOKUP(D15,'1. Lists'!$E$3:$F$52,2,FALSE),"")</f>
        <v>Office of the Municipal Manager</v>
      </c>
      <c r="D15" s="120" t="s">
        <v>364</v>
      </c>
      <c r="E15" s="121"/>
      <c r="F15" s="65" t="str">
        <f>IF(E15&gt;0,VLOOKUP(E15,'2. Top Layer'!$A:$C,3,FALSE),"")</f>
        <v/>
      </c>
      <c r="G15" s="65" t="str">
        <f>IF(E15&gt;0,VLOOKUP(E15,'2. Top Layer'!$A:$T,17,FALSE),"")</f>
        <v/>
      </c>
      <c r="H15" s="66">
        <f>IF(LEN(I15)&gt;0,VLOOKUP(I15,'1. Lists'!$T:$U,2,FALSE),"")</f>
        <v>112</v>
      </c>
      <c r="I15" s="122" t="s">
        <v>432</v>
      </c>
      <c r="J15" s="123"/>
      <c r="K15" s="66">
        <f>IF(LEN(L15)&gt;0,VLOOKUP(L15,'1. Lists'!$AK:$AL,2,FALSE),"")</f>
        <v>9</v>
      </c>
      <c r="L15" s="124" t="s">
        <v>159</v>
      </c>
      <c r="M15" s="70">
        <f>IF(LEN(N15)&gt;0,VLOOKUP(N15,'1. Lists'!$AN:$AQ,4,FALSE),"")</f>
        <v>2</v>
      </c>
      <c r="N15" s="125" t="s">
        <v>382</v>
      </c>
      <c r="O15" s="66">
        <f>IF(LEN(P15)&gt;0,VLOOKUP(P15,'1. Lists'!$AA:$AC,3,FALSE),"")</f>
        <v>5</v>
      </c>
      <c r="P15" s="134" t="s">
        <v>42</v>
      </c>
      <c r="Q15" s="73">
        <f>IF(LEN(R15)&gt;0,VLOOKUP(R15,'1. Lists'!$W:$Y,3,FALSE),"")</f>
        <v>1</v>
      </c>
      <c r="R15" s="127" t="s">
        <v>169</v>
      </c>
      <c r="S15" s="73">
        <f>IF(LEN(T15)&gt;0,VLOOKUP(T15,'1. Lists'!$AH:$AI,2,FALSE),"")</f>
        <v>11</v>
      </c>
      <c r="T15" s="128" t="s">
        <v>396</v>
      </c>
      <c r="U15" s="76">
        <f>IF(LEN(V15)&gt;0,VLOOKUP(V15,'1. Lists'!$AE:$AF,2,FALSE),"")</f>
        <v>11</v>
      </c>
      <c r="V15" s="129" t="s">
        <v>355</v>
      </c>
      <c r="W15" s="130"/>
      <c r="X15" s="131" t="str">
        <f>IF(W15&gt;0,VLOOKUP($W15,#REF!,4,FALSE),"")</f>
        <v/>
      </c>
      <c r="Y15" s="78" t="str">
        <f>IF(W15&gt;0,VLOOKUP($W15,#REF!,10,FALSE),"")</f>
        <v/>
      </c>
      <c r="Z15" s="132" t="s">
        <v>465</v>
      </c>
      <c r="AA15" s="132" t="s">
        <v>466</v>
      </c>
      <c r="AB15" s="66">
        <f>IF(LEN(AC15)&gt;0,VLOOKUP(AC15,'1. Lists'!$AV$3:$AX$7,3,FALSE),"")</f>
        <v>3</v>
      </c>
      <c r="AC15" s="133" t="s">
        <v>4</v>
      </c>
      <c r="AD15" s="66">
        <f>IF(LEN(AE15)&gt;0,VLOOKUP(AE15,'1. Lists'!$AZ$3:$BB$7,3,FALSE),"")</f>
        <v>2</v>
      </c>
      <c r="AE15" s="122" t="s">
        <v>9</v>
      </c>
      <c r="AF15" s="123"/>
      <c r="AG15" s="123"/>
      <c r="AH15" s="66">
        <f>IF(LEN(AI15)&gt;0,VLOOKUP(AI15,'1. Lists'!$BD$3:$BF$15,3,FALSE),"")</f>
        <v>5</v>
      </c>
      <c r="AI15" s="127" t="s">
        <v>340</v>
      </c>
      <c r="AJ15" s="134" t="s">
        <v>68</v>
      </c>
      <c r="AK15" s="135" t="s">
        <v>461</v>
      </c>
      <c r="AL15" s="125" t="s">
        <v>428</v>
      </c>
      <c r="AM15" s="145">
        <v>1</v>
      </c>
      <c r="AN15" s="123"/>
      <c r="AO15" s="145">
        <v>1</v>
      </c>
      <c r="AP15" s="137" t="s">
        <v>573</v>
      </c>
      <c r="AQ15" s="123"/>
      <c r="AR15" s="123"/>
      <c r="AS15" s="123"/>
      <c r="AT15" s="123"/>
      <c r="AU15" s="135" t="s">
        <v>460</v>
      </c>
      <c r="AV15" s="80" t="str">
        <f>IF(LEN(AW15)&gt;0,VLOOKUP(AW15,'1. Lists'!$BQ:$BR,2,FALSE),"")</f>
        <v>CO</v>
      </c>
      <c r="AW15" s="120" t="s">
        <v>12</v>
      </c>
      <c r="AX15" s="80">
        <f>IF(LEN(AY15)&gt;0,VLOOKUP(AY15,'1. Lists'!$BU$3:$BW$5,3,FALSE),"")</f>
        <v>2</v>
      </c>
      <c r="AY15" s="138" t="s">
        <v>82</v>
      </c>
      <c r="AZ15" s="139">
        <v>100</v>
      </c>
      <c r="BA15" s="82">
        <f t="shared" si="0"/>
        <v>100</v>
      </c>
      <c r="BC15" s="141">
        <v>0</v>
      </c>
      <c r="BD15" s="141">
        <v>0</v>
      </c>
      <c r="BE15" s="141">
        <v>0</v>
      </c>
      <c r="BF15" s="141">
        <v>0</v>
      </c>
      <c r="BG15" s="141">
        <v>0</v>
      </c>
      <c r="BH15" s="141">
        <v>0</v>
      </c>
      <c r="BI15" s="141">
        <v>0</v>
      </c>
      <c r="BJ15" s="141">
        <v>0</v>
      </c>
      <c r="BK15" s="141">
        <v>0</v>
      </c>
      <c r="BL15" s="141">
        <v>0</v>
      </c>
      <c r="BM15" s="141">
        <v>0</v>
      </c>
      <c r="BN15" s="141">
        <v>100</v>
      </c>
      <c r="BP15" s="66">
        <f t="shared" si="1"/>
        <v>100</v>
      </c>
      <c r="BQ15" s="66">
        <f t="shared" si="2"/>
        <v>100</v>
      </c>
      <c r="BR15" s="66">
        <f t="shared" si="3"/>
        <v>100</v>
      </c>
      <c r="BS15" s="66">
        <v>0</v>
      </c>
      <c r="BU15" s="66">
        <f t="shared" si="4"/>
        <v>100</v>
      </c>
      <c r="BV15" s="66">
        <f t="shared" si="5"/>
        <v>100</v>
      </c>
      <c r="BW15" s="66">
        <f t="shared" si="6"/>
        <v>100</v>
      </c>
    </row>
    <row r="16" spans="1:75" ht="75" x14ac:dyDescent="0.25">
      <c r="A16" s="92">
        <f t="shared" si="7"/>
        <v>13</v>
      </c>
      <c r="B16" s="66">
        <f>IF(LEN(D16)&gt;0,VLOOKUP(D16,'1. Lists'!$E$3:$J$52,6,FALSE),"")</f>
        <v>3</v>
      </c>
      <c r="C16" s="66" t="str">
        <f>IF(LEN(D16)&gt;0,VLOOKUP(D16,'1. Lists'!$E$3:$F$52,2,FALSE),"")</f>
        <v>Office of the Municipal Manager</v>
      </c>
      <c r="D16" s="120" t="s">
        <v>364</v>
      </c>
      <c r="E16" s="121"/>
      <c r="F16" s="65" t="str">
        <f>IF(E16&gt;0,VLOOKUP(E16,'2. Top Layer'!$A:$C,3,FALSE),"")</f>
        <v/>
      </c>
      <c r="G16" s="65" t="str">
        <f>IF(E16&gt;0,VLOOKUP(E16,'2. Top Layer'!$A:$T,17,FALSE),"")</f>
        <v/>
      </c>
      <c r="H16" s="66">
        <f>IF(LEN(I16)&gt;0,VLOOKUP(I16,'1. Lists'!$T:$U,2,FALSE),"")</f>
        <v>168</v>
      </c>
      <c r="I16" s="122" t="s">
        <v>786</v>
      </c>
      <c r="J16" s="123"/>
      <c r="K16" s="66">
        <f>IF(LEN(L16)&gt;0,VLOOKUP(L16,'1. Lists'!$AK:$AL,2,FALSE),"")</f>
        <v>9</v>
      </c>
      <c r="L16" s="124" t="s">
        <v>159</v>
      </c>
      <c r="M16" s="70">
        <f>IF(LEN(N16)&gt;0,VLOOKUP(N16,'1. Lists'!$AN:$AQ,4,FALSE),"")</f>
        <v>2</v>
      </c>
      <c r="N16" s="125" t="s">
        <v>382</v>
      </c>
      <c r="O16" s="66">
        <f>IF(LEN(P16)&gt;0,VLOOKUP(P16,'1. Lists'!$AA:$AC,3,FALSE),"")</f>
        <v>5</v>
      </c>
      <c r="P16" s="134" t="s">
        <v>42</v>
      </c>
      <c r="Q16" s="73">
        <f>IF(LEN(R16)&gt;0,VLOOKUP(R16,'1. Lists'!$W:$Y,3,FALSE),"")</f>
        <v>1</v>
      </c>
      <c r="R16" s="127" t="s">
        <v>169</v>
      </c>
      <c r="S16" s="73">
        <f>IF(LEN(T16)&gt;0,VLOOKUP(T16,'1. Lists'!$AH:$AI,2,FALSE),"")</f>
        <v>11</v>
      </c>
      <c r="T16" s="128" t="s">
        <v>396</v>
      </c>
      <c r="U16" s="76">
        <f>IF(LEN(V16)&gt;0,VLOOKUP(V16,'1. Lists'!$AE:$AF,2,FALSE),"")</f>
        <v>11</v>
      </c>
      <c r="V16" s="129" t="s">
        <v>355</v>
      </c>
      <c r="W16" s="130"/>
      <c r="X16" s="131"/>
      <c r="Z16" s="132" t="s">
        <v>787</v>
      </c>
      <c r="AA16" s="132" t="s">
        <v>788</v>
      </c>
      <c r="AB16" s="66">
        <f>IF(LEN(AC16)&gt;0,VLOOKUP(AC16,'1. Lists'!$AV$3:$AX$7,3,FALSE),"")</f>
        <v>2</v>
      </c>
      <c r="AC16" s="133" t="s">
        <v>13</v>
      </c>
      <c r="AD16" s="66">
        <f>IF(LEN(AE16)&gt;0,VLOOKUP(AE16,'1. Lists'!$AZ$3:$BB$7,3,FALSE),"")</f>
        <v>1</v>
      </c>
      <c r="AE16" s="122" t="s">
        <v>15</v>
      </c>
      <c r="AF16" s="123"/>
      <c r="AG16" s="123"/>
      <c r="AH16" s="66">
        <f>IF(LEN(AI16)&gt;0,VLOOKUP(AI16,'1. Lists'!$BD$3:$BF$15,3,FALSE),"")</f>
        <v>5</v>
      </c>
      <c r="AI16" s="127" t="s">
        <v>340</v>
      </c>
      <c r="AJ16" s="134" t="s">
        <v>68</v>
      </c>
      <c r="AK16" s="135" t="s">
        <v>461</v>
      </c>
      <c r="AL16" s="125" t="s">
        <v>428</v>
      </c>
      <c r="AM16" s="145" t="s">
        <v>762</v>
      </c>
      <c r="AN16" s="123"/>
      <c r="AO16" s="136" t="s">
        <v>789</v>
      </c>
      <c r="AP16" s="137" t="s">
        <v>790</v>
      </c>
      <c r="AQ16" s="123"/>
      <c r="AR16" s="123"/>
      <c r="AS16" s="123"/>
      <c r="AT16" s="123"/>
      <c r="AU16" s="135" t="s">
        <v>460</v>
      </c>
      <c r="AV16" s="80" t="str">
        <f>IF(LEN(AW16)&gt;0,VLOOKUP(AW16,'1. Lists'!$BQ:$BR,2,FALSE),"")</f>
        <v>CO</v>
      </c>
      <c r="AW16" s="120" t="s">
        <v>12</v>
      </c>
      <c r="AX16" s="80">
        <f>IF(LEN(AY16)&gt;0,VLOOKUP(AY16,'1. Lists'!$BU$3:$BW$5,3,FALSE),"")</f>
        <v>3</v>
      </c>
      <c r="AY16" s="138" t="s">
        <v>83</v>
      </c>
      <c r="AZ16" s="155">
        <v>1</v>
      </c>
      <c r="BA16" s="159">
        <f t="shared" si="0"/>
        <v>1</v>
      </c>
      <c r="BC16" s="141">
        <v>0</v>
      </c>
      <c r="BD16" s="141">
        <v>0</v>
      </c>
      <c r="BE16" s="141">
        <v>0</v>
      </c>
      <c r="BF16" s="141">
        <v>1</v>
      </c>
      <c r="BG16" s="141">
        <v>0</v>
      </c>
      <c r="BH16" s="141">
        <v>0</v>
      </c>
      <c r="BI16" s="141">
        <v>0</v>
      </c>
      <c r="BJ16" s="141">
        <v>0</v>
      </c>
      <c r="BK16" s="141">
        <v>0</v>
      </c>
      <c r="BL16" s="141">
        <v>0</v>
      </c>
      <c r="BM16" s="141">
        <v>0</v>
      </c>
      <c r="BN16" s="141">
        <v>0</v>
      </c>
      <c r="BP16" s="66">
        <f t="shared" si="1"/>
        <v>1</v>
      </c>
      <c r="BQ16" s="66">
        <f t="shared" si="2"/>
        <v>1</v>
      </c>
      <c r="BR16" s="66">
        <f t="shared" si="3"/>
        <v>1</v>
      </c>
      <c r="BU16" s="66">
        <f t="shared" si="4"/>
        <v>1</v>
      </c>
      <c r="BV16" s="66">
        <f t="shared" si="5"/>
        <v>1</v>
      </c>
      <c r="BW16" s="66">
        <f t="shared" si="6"/>
        <v>1</v>
      </c>
    </row>
    <row r="17" spans="1:75" ht="75" x14ac:dyDescent="0.25">
      <c r="A17" s="92">
        <f t="shared" si="7"/>
        <v>14</v>
      </c>
      <c r="B17" s="66">
        <f>IF(LEN(D17)&gt;0,VLOOKUP(D17,'1. Lists'!$E$3:$J$52,6,FALSE),"")</f>
        <v>3</v>
      </c>
      <c r="C17" s="66" t="str">
        <f>IF(LEN(D17)&gt;0,VLOOKUP(D17,'1. Lists'!$E$3:$F$52,2,FALSE),"")</f>
        <v>Office of the Municipal Manager</v>
      </c>
      <c r="D17" s="120" t="s">
        <v>364</v>
      </c>
      <c r="E17" s="121"/>
      <c r="F17" s="65" t="str">
        <f>IF(E17&gt;0,VLOOKUP(E17,'2. Top Layer'!$A:$C,3,FALSE),"")</f>
        <v/>
      </c>
      <c r="G17" s="65" t="str">
        <f>IF(E17&gt;0,VLOOKUP(E17,'2. Top Layer'!$A:$T,17,FALSE),"")</f>
        <v/>
      </c>
      <c r="H17" s="66">
        <f>IF(LEN(I17)&gt;0,VLOOKUP(I17,'1. Lists'!$T:$U,2,FALSE),"")</f>
        <v>64</v>
      </c>
      <c r="I17" s="122" t="s">
        <v>435</v>
      </c>
      <c r="J17" s="123"/>
      <c r="K17" s="66">
        <f>IF(LEN(L17)&gt;0,VLOOKUP(L17,'1. Lists'!$AK:$AL,2,FALSE),"")</f>
        <v>9</v>
      </c>
      <c r="L17" s="124" t="s">
        <v>159</v>
      </c>
      <c r="M17" s="70">
        <f>IF(LEN(N17)&gt;0,VLOOKUP(N17,'1. Lists'!$AN:$AQ,4,FALSE),"")</f>
        <v>2</v>
      </c>
      <c r="N17" s="125" t="s">
        <v>382</v>
      </c>
      <c r="O17" s="66">
        <f>IF(LEN(P17)&gt;0,VLOOKUP(P17,'1. Lists'!$AA:$AC,3,FALSE),"")</f>
        <v>5</v>
      </c>
      <c r="P17" s="134" t="s">
        <v>42</v>
      </c>
      <c r="Q17" s="73">
        <f>IF(LEN(R17)&gt;0,VLOOKUP(R17,'1. Lists'!$W:$Y,3,FALSE),"")</f>
        <v>1</v>
      </c>
      <c r="R17" s="127" t="s">
        <v>169</v>
      </c>
      <c r="S17" s="73">
        <f>IF(LEN(T17)&gt;0,VLOOKUP(T17,'1. Lists'!$AH:$AI,2,FALSE),"")</f>
        <v>11</v>
      </c>
      <c r="T17" s="128" t="s">
        <v>396</v>
      </c>
      <c r="U17" s="76">
        <f>IF(LEN(V17)&gt;0,VLOOKUP(V17,'1. Lists'!$AE:$AF,2,FALSE),"")</f>
        <v>11</v>
      </c>
      <c r="V17" s="129" t="s">
        <v>355</v>
      </c>
      <c r="W17" s="130"/>
      <c r="X17" s="131" t="str">
        <f>IF(W17&gt;0,VLOOKUP($W17,#REF!,4,FALSE),"")</f>
        <v/>
      </c>
      <c r="Y17" s="78" t="str">
        <f>IF(W17&gt;0,VLOOKUP($W17,#REF!,10,FALSE),"")</f>
        <v/>
      </c>
      <c r="Z17" s="132" t="s">
        <v>791</v>
      </c>
      <c r="AA17" s="132" t="s">
        <v>468</v>
      </c>
      <c r="AB17" s="66">
        <f>IF(LEN(AC17)&gt;0,VLOOKUP(AC17,'1. Lists'!$AV$3:$AX$7,3,FALSE),"")</f>
        <v>2</v>
      </c>
      <c r="AC17" s="133" t="s">
        <v>13</v>
      </c>
      <c r="AD17" s="66">
        <f>IF(LEN(AE17)&gt;0,VLOOKUP(AE17,'1. Lists'!$AZ$3:$BB$7,3,FALSE),"")</f>
        <v>2</v>
      </c>
      <c r="AE17" s="122" t="s">
        <v>9</v>
      </c>
      <c r="AF17" s="123"/>
      <c r="AG17" s="123"/>
      <c r="AH17" s="66">
        <f>IF(LEN(AI17)&gt;0,VLOOKUP(AI17,'1. Lists'!$BD$3:$BF$15,3,FALSE),"")</f>
        <v>5</v>
      </c>
      <c r="AI17" s="127" t="s">
        <v>340</v>
      </c>
      <c r="AJ17" s="134" t="s">
        <v>68</v>
      </c>
      <c r="AK17" s="135" t="s">
        <v>461</v>
      </c>
      <c r="AL17" s="125" t="s">
        <v>428</v>
      </c>
      <c r="AM17" s="136">
        <v>10</v>
      </c>
      <c r="AN17" s="123"/>
      <c r="AO17" s="136" t="s">
        <v>601</v>
      </c>
      <c r="AP17" s="137" t="s">
        <v>790</v>
      </c>
      <c r="AQ17" s="123"/>
      <c r="AR17" s="123"/>
      <c r="AS17" s="123"/>
      <c r="AT17" s="123"/>
      <c r="AU17" s="135" t="s">
        <v>460</v>
      </c>
      <c r="AV17" s="80" t="str">
        <f>IF(LEN(AW17)&gt;0,VLOOKUP(AW17,'1. Lists'!$BQ:$BR,2,FALSE),"")</f>
        <v>ACC</v>
      </c>
      <c r="AW17" s="120" t="s">
        <v>14</v>
      </c>
      <c r="AX17" s="80">
        <f>IF(LEN(AY17)&gt;0,VLOOKUP(AY17,'1. Lists'!$BU$3:$BW$5,3,FALSE),"")</f>
        <v>3</v>
      </c>
      <c r="AY17" s="138" t="s">
        <v>83</v>
      </c>
      <c r="AZ17" s="139">
        <v>12</v>
      </c>
      <c r="BA17" s="82">
        <f t="shared" si="0"/>
        <v>12</v>
      </c>
      <c r="BC17" s="141">
        <v>1</v>
      </c>
      <c r="BD17" s="141">
        <v>1</v>
      </c>
      <c r="BE17" s="141">
        <v>1</v>
      </c>
      <c r="BF17" s="141">
        <v>1</v>
      </c>
      <c r="BG17" s="141">
        <v>1</v>
      </c>
      <c r="BH17" s="141">
        <v>1</v>
      </c>
      <c r="BI17" s="141">
        <v>1</v>
      </c>
      <c r="BJ17" s="141">
        <v>1</v>
      </c>
      <c r="BK17" s="141">
        <v>1</v>
      </c>
      <c r="BL17" s="141">
        <v>1</v>
      </c>
      <c r="BM17" s="141">
        <v>1</v>
      </c>
      <c r="BN17" s="141">
        <v>1</v>
      </c>
      <c r="BP17" s="66">
        <f t="shared" si="1"/>
        <v>1</v>
      </c>
      <c r="BQ17" s="66">
        <f t="shared" si="2"/>
        <v>12</v>
      </c>
      <c r="BR17" s="66">
        <f t="shared" si="3"/>
        <v>1</v>
      </c>
      <c r="BS17" s="66">
        <v>0</v>
      </c>
      <c r="BU17" s="66">
        <f t="shared" si="4"/>
        <v>1</v>
      </c>
      <c r="BV17" s="66">
        <f t="shared" si="5"/>
        <v>1</v>
      </c>
      <c r="BW17" s="66">
        <f t="shared" si="6"/>
        <v>1</v>
      </c>
    </row>
    <row r="18" spans="1:75" ht="75" x14ac:dyDescent="0.25">
      <c r="A18" s="92">
        <f t="shared" si="7"/>
        <v>15</v>
      </c>
      <c r="B18" s="66">
        <f>IF(LEN(D18)&gt;0,VLOOKUP(D18,'1. Lists'!$E$3:$J$52,6,FALSE),"")</f>
        <v>3</v>
      </c>
      <c r="C18" s="66" t="str">
        <f>IF(LEN(D18)&gt;0,VLOOKUP(D18,'1. Lists'!$E$3:$F$52,2,FALSE),"")</f>
        <v>Office of the Municipal Manager</v>
      </c>
      <c r="D18" s="120" t="s">
        <v>364</v>
      </c>
      <c r="E18" s="121"/>
      <c r="F18" s="65"/>
      <c r="H18" s="66">
        <f>IF(LEN(I18)&gt;0,VLOOKUP(I18,'1. Lists'!$T:$U,2,FALSE),"")</f>
        <v>67</v>
      </c>
      <c r="I18" s="122" t="s">
        <v>437</v>
      </c>
      <c r="J18" s="123"/>
      <c r="K18" s="66">
        <f>IF(LEN(L18)&gt;0,VLOOKUP(L18,'1. Lists'!$AK:$AL,2,FALSE),"")</f>
        <v>9</v>
      </c>
      <c r="L18" s="124" t="s">
        <v>159</v>
      </c>
      <c r="M18" s="70">
        <f>IF(LEN(N18)&gt;0,VLOOKUP(N18,'1. Lists'!$AN:$AQ,4,FALSE),"")</f>
        <v>2</v>
      </c>
      <c r="N18" s="125" t="s">
        <v>382</v>
      </c>
      <c r="O18" s="66">
        <f>IF(LEN(P18)&gt;0,VLOOKUP(P18,'1. Lists'!$AA:$AC,3,FALSE),"")</f>
        <v>4</v>
      </c>
      <c r="P18" s="134" t="s">
        <v>41</v>
      </c>
      <c r="Q18" s="73">
        <f>IF(LEN(R18)&gt;0,VLOOKUP(R18,'1. Lists'!$W:$Y,3,FALSE),"")</f>
        <v>1</v>
      </c>
      <c r="R18" s="127" t="s">
        <v>169</v>
      </c>
      <c r="S18" s="73">
        <f>IF(LEN(T18)&gt;0,VLOOKUP(T18,'1. Lists'!$AH:$AI,2,FALSE),"")</f>
        <v>11</v>
      </c>
      <c r="T18" s="128" t="s">
        <v>396</v>
      </c>
      <c r="U18" s="76">
        <f>IF(LEN(V18)&gt;0,VLOOKUP(V18,'1. Lists'!$AE:$AF,2,FALSE),"")</f>
        <v>11</v>
      </c>
      <c r="V18" s="129" t="s">
        <v>355</v>
      </c>
      <c r="W18" s="130"/>
      <c r="X18" s="131"/>
      <c r="Z18" s="132" t="s">
        <v>792</v>
      </c>
      <c r="AA18" s="132" t="s">
        <v>739</v>
      </c>
      <c r="AB18" s="66">
        <f>IF(LEN(AC18)&gt;0,VLOOKUP(AC18,'1. Lists'!$AV$3:$AX$7,3,FALSE),"")</f>
        <v>2</v>
      </c>
      <c r="AC18" s="133" t="s">
        <v>13</v>
      </c>
      <c r="AD18" s="66">
        <f>IF(LEN(AE18)&gt;0,VLOOKUP(AE18,'1. Lists'!$AZ$3:$BB$7,3,FALSE),"")</f>
        <v>2</v>
      </c>
      <c r="AE18" s="122" t="s">
        <v>9</v>
      </c>
      <c r="AF18" s="123"/>
      <c r="AG18" s="123"/>
      <c r="AH18" s="66">
        <f>IF(LEN(AI18)&gt;0,VLOOKUP(AI18,'1. Lists'!$BD$3:$BF$15,3,FALSE),"")</f>
        <v>5</v>
      </c>
      <c r="AI18" s="127" t="s">
        <v>340</v>
      </c>
      <c r="AJ18" s="134" t="s">
        <v>68</v>
      </c>
      <c r="AK18" s="135" t="s">
        <v>461</v>
      </c>
      <c r="AL18" s="125" t="s">
        <v>428</v>
      </c>
      <c r="AM18" s="145" t="s">
        <v>762</v>
      </c>
      <c r="AN18" s="123"/>
      <c r="AO18" s="136" t="s">
        <v>565</v>
      </c>
      <c r="AP18" s="137" t="s">
        <v>790</v>
      </c>
      <c r="AQ18" s="123"/>
      <c r="AR18" s="123"/>
      <c r="AS18" s="123"/>
      <c r="AT18" s="123"/>
      <c r="AU18" s="135" t="s">
        <v>460</v>
      </c>
      <c r="AV18" s="80" t="str">
        <f>IF(LEN(AW18)&gt;0,VLOOKUP(AW18,'1. Lists'!$BQ:$BR,2,FALSE),"")</f>
        <v>ACC</v>
      </c>
      <c r="AW18" s="120" t="s">
        <v>14</v>
      </c>
      <c r="AX18" s="80">
        <f>IF(LEN(AY18)&gt;0,VLOOKUP(AY18,'1. Lists'!$BU$3:$BW$5,3,FALSE),"")</f>
        <v>3</v>
      </c>
      <c r="AY18" s="138" t="s">
        <v>83</v>
      </c>
      <c r="AZ18" s="139">
        <v>4</v>
      </c>
      <c r="BA18" s="82">
        <f t="shared" si="0"/>
        <v>4</v>
      </c>
      <c r="BC18" s="141">
        <v>0</v>
      </c>
      <c r="BD18" s="141">
        <v>0</v>
      </c>
      <c r="BE18" s="141">
        <v>1</v>
      </c>
      <c r="BF18" s="141">
        <v>0</v>
      </c>
      <c r="BG18" s="141">
        <v>0</v>
      </c>
      <c r="BH18" s="141">
        <v>1</v>
      </c>
      <c r="BI18" s="141">
        <v>0</v>
      </c>
      <c r="BJ18" s="141">
        <v>0</v>
      </c>
      <c r="BK18" s="141">
        <v>1</v>
      </c>
      <c r="BL18" s="141">
        <v>0</v>
      </c>
      <c r="BM18" s="141">
        <v>0</v>
      </c>
      <c r="BN18" s="141">
        <v>1</v>
      </c>
      <c r="BP18" s="66">
        <f t="shared" si="1"/>
        <v>1</v>
      </c>
      <c r="BQ18" s="66">
        <f t="shared" si="2"/>
        <v>4</v>
      </c>
      <c r="BR18" s="66">
        <f t="shared" si="3"/>
        <v>1</v>
      </c>
      <c r="BU18" s="66">
        <f t="shared" si="4"/>
        <v>1</v>
      </c>
      <c r="BV18" s="66">
        <f t="shared" si="5"/>
        <v>1</v>
      </c>
      <c r="BW18" s="66">
        <f t="shared" si="6"/>
        <v>1</v>
      </c>
    </row>
    <row r="19" spans="1:75" ht="75" x14ac:dyDescent="0.25">
      <c r="A19" s="92">
        <f t="shared" si="7"/>
        <v>16</v>
      </c>
      <c r="B19" s="66">
        <f>IF(LEN(D19)&gt;0,VLOOKUP(D19,'1. Lists'!$E$3:$J$52,6,FALSE),"")</f>
        <v>3</v>
      </c>
      <c r="C19" s="66" t="str">
        <f>IF(LEN(D19)&gt;0,VLOOKUP(D19,'1. Lists'!$E$3:$F$52,2,FALSE),"")</f>
        <v>Office of the Municipal Manager</v>
      </c>
      <c r="D19" s="120" t="s">
        <v>364</v>
      </c>
      <c r="E19" s="121"/>
      <c r="F19" s="65"/>
      <c r="H19" s="66">
        <f>IF(LEN(I19)&gt;0,VLOOKUP(I19,'1. Lists'!$T:$U,2,FALSE),"")</f>
        <v>67</v>
      </c>
      <c r="I19" s="122" t="s">
        <v>437</v>
      </c>
      <c r="J19" s="123"/>
      <c r="K19" s="66">
        <f>IF(LEN(L19)&gt;0,VLOOKUP(L19,'1. Lists'!$AK:$AL,2,FALSE),"")</f>
        <v>9</v>
      </c>
      <c r="L19" s="124" t="s">
        <v>159</v>
      </c>
      <c r="M19" s="70">
        <f>IF(LEN(N19)&gt;0,VLOOKUP(N19,'1. Lists'!$AN:$AQ,4,FALSE),"")</f>
        <v>2</v>
      </c>
      <c r="N19" s="125" t="s">
        <v>382</v>
      </c>
      <c r="O19" s="66">
        <f>IF(LEN(P19)&gt;0,VLOOKUP(P19,'1. Lists'!$AA:$AC,3,FALSE),"")</f>
        <v>4</v>
      </c>
      <c r="P19" s="134" t="s">
        <v>41</v>
      </c>
      <c r="Q19" s="73">
        <f>IF(LEN(R19)&gt;0,VLOOKUP(R19,'1. Lists'!$W:$Y,3,FALSE),"")</f>
        <v>1</v>
      </c>
      <c r="R19" s="127" t="s">
        <v>169</v>
      </c>
      <c r="S19" s="73">
        <f>IF(LEN(T19)&gt;0,VLOOKUP(T19,'1. Lists'!$AH:$AI,2,FALSE),"")</f>
        <v>11</v>
      </c>
      <c r="T19" s="128" t="s">
        <v>396</v>
      </c>
      <c r="U19" s="76">
        <f>IF(LEN(V19)&gt;0,VLOOKUP(V19,'1. Lists'!$AE:$AF,2,FALSE),"")</f>
        <v>11</v>
      </c>
      <c r="V19" s="129" t="s">
        <v>355</v>
      </c>
      <c r="W19" s="130"/>
      <c r="X19" s="131"/>
      <c r="Z19" s="132" t="s">
        <v>793</v>
      </c>
      <c r="AA19" s="132" t="s">
        <v>794</v>
      </c>
      <c r="AB19" s="66">
        <f>IF(LEN(AC19)&gt;0,VLOOKUP(AC19,'1. Lists'!$AV$3:$AX$7,3,FALSE),"")</f>
        <v>2</v>
      </c>
      <c r="AC19" s="133" t="s">
        <v>13</v>
      </c>
      <c r="AD19" s="66">
        <f>IF(LEN(AE19)&gt;0,VLOOKUP(AE19,'1. Lists'!$AZ$3:$BB$7,3,FALSE),"")</f>
        <v>2</v>
      </c>
      <c r="AE19" s="122" t="s">
        <v>9</v>
      </c>
      <c r="AF19" s="123"/>
      <c r="AG19" s="123"/>
      <c r="AH19" s="66">
        <f>IF(LEN(AI19)&gt;0,VLOOKUP(AI19,'1. Lists'!$BD$3:$BF$15,3,FALSE),"")</f>
        <v>5</v>
      </c>
      <c r="AI19" s="127" t="s">
        <v>340</v>
      </c>
      <c r="AJ19" s="134" t="s">
        <v>68</v>
      </c>
      <c r="AK19" s="135" t="s">
        <v>461</v>
      </c>
      <c r="AL19" s="125" t="s">
        <v>428</v>
      </c>
      <c r="AM19" s="145" t="s">
        <v>762</v>
      </c>
      <c r="AN19" s="123"/>
      <c r="AO19" s="136" t="s">
        <v>795</v>
      </c>
      <c r="AP19" s="137" t="s">
        <v>790</v>
      </c>
      <c r="AQ19" s="123"/>
      <c r="AR19" s="123"/>
      <c r="AS19" s="123"/>
      <c r="AT19" s="123"/>
      <c r="AU19" s="135" t="s">
        <v>460</v>
      </c>
      <c r="AV19" s="80" t="str">
        <f>IF(LEN(AW19)&gt;0,VLOOKUP(AW19,'1. Lists'!$BQ:$BR,2,FALSE),"")</f>
        <v>ACC</v>
      </c>
      <c r="AW19" s="120" t="s">
        <v>14</v>
      </c>
      <c r="AX19" s="80">
        <f>IF(LEN(AY19)&gt;0,VLOOKUP(AY19,'1. Lists'!$BU$3:$BW$5,3,FALSE),"")</f>
        <v>3</v>
      </c>
      <c r="AY19" s="138" t="s">
        <v>83</v>
      </c>
      <c r="AZ19" s="139">
        <v>12</v>
      </c>
      <c r="BA19" s="82">
        <f t="shared" si="0"/>
        <v>12</v>
      </c>
      <c r="BC19" s="141">
        <v>1</v>
      </c>
      <c r="BD19" s="141">
        <v>1</v>
      </c>
      <c r="BE19" s="141">
        <v>1</v>
      </c>
      <c r="BF19" s="141">
        <v>1</v>
      </c>
      <c r="BG19" s="141">
        <v>1</v>
      </c>
      <c r="BH19" s="141">
        <v>1</v>
      </c>
      <c r="BI19" s="141">
        <v>1</v>
      </c>
      <c r="BJ19" s="141">
        <v>1</v>
      </c>
      <c r="BK19" s="141">
        <v>1</v>
      </c>
      <c r="BL19" s="141">
        <v>1</v>
      </c>
      <c r="BM19" s="141">
        <v>1</v>
      </c>
      <c r="BN19" s="141">
        <v>1</v>
      </c>
      <c r="BP19" s="66">
        <f t="shared" si="1"/>
        <v>1</v>
      </c>
      <c r="BQ19" s="66">
        <f t="shared" si="2"/>
        <v>12</v>
      </c>
      <c r="BR19" s="66">
        <f t="shared" si="3"/>
        <v>1</v>
      </c>
      <c r="BU19" s="66">
        <f t="shared" si="4"/>
        <v>1</v>
      </c>
      <c r="BV19" s="66">
        <f t="shared" si="5"/>
        <v>1</v>
      </c>
      <c r="BW19" s="66">
        <f t="shared" si="6"/>
        <v>1</v>
      </c>
    </row>
    <row r="20" spans="1:75" ht="75" x14ac:dyDescent="0.25">
      <c r="A20" s="92">
        <f t="shared" si="7"/>
        <v>17</v>
      </c>
      <c r="B20" s="66">
        <f>IF(LEN(D20)&gt;0,VLOOKUP(D20,'1. Lists'!$E$3:$J$52,6,FALSE),"")</f>
        <v>3</v>
      </c>
      <c r="C20" s="66" t="str">
        <f>IF(LEN(D20)&gt;0,VLOOKUP(D20,'1. Lists'!$E$3:$F$52,2,FALSE),"")</f>
        <v>Office of the Municipal Manager</v>
      </c>
      <c r="D20" s="120" t="s">
        <v>364</v>
      </c>
      <c r="E20" s="121"/>
      <c r="F20" s="65"/>
      <c r="H20" s="66">
        <f>IF(LEN(I20)&gt;0,VLOOKUP(I20,'1. Lists'!$T:$U,2,FALSE),"")</f>
        <v>67</v>
      </c>
      <c r="I20" s="122" t="s">
        <v>437</v>
      </c>
      <c r="J20" s="123"/>
      <c r="K20" s="66">
        <f>IF(LEN(L20)&gt;0,VLOOKUP(L20,'1. Lists'!$AK:$AL,2,FALSE),"")</f>
        <v>9</v>
      </c>
      <c r="L20" s="124" t="s">
        <v>159</v>
      </c>
      <c r="M20" s="70">
        <f>IF(LEN(N20)&gt;0,VLOOKUP(N20,'1. Lists'!$AN:$AQ,4,FALSE),"")</f>
        <v>2</v>
      </c>
      <c r="N20" s="125" t="s">
        <v>382</v>
      </c>
      <c r="O20" s="66">
        <f>IF(LEN(P20)&gt;0,VLOOKUP(P20,'1. Lists'!$AA:$AC,3,FALSE),"")</f>
        <v>4</v>
      </c>
      <c r="P20" s="134" t="s">
        <v>41</v>
      </c>
      <c r="Q20" s="73">
        <f>IF(LEN(R20)&gt;0,VLOOKUP(R20,'1. Lists'!$W:$Y,3,FALSE),"")</f>
        <v>1</v>
      </c>
      <c r="R20" s="127" t="s">
        <v>169</v>
      </c>
      <c r="S20" s="73">
        <f>IF(LEN(T20)&gt;0,VLOOKUP(T20,'1. Lists'!$AH:$AI,2,FALSE),"")</f>
        <v>11</v>
      </c>
      <c r="T20" s="128" t="s">
        <v>396</v>
      </c>
      <c r="U20" s="76">
        <f>IF(LEN(V20)&gt;0,VLOOKUP(V20,'1. Lists'!$AE:$AF,2,FALSE),"")</f>
        <v>11</v>
      </c>
      <c r="V20" s="129" t="s">
        <v>355</v>
      </c>
      <c r="W20" s="130"/>
      <c r="X20" s="131"/>
      <c r="Z20" s="132" t="s">
        <v>796</v>
      </c>
      <c r="AA20" s="132" t="s">
        <v>797</v>
      </c>
      <c r="AB20" s="66">
        <f>IF(LEN(AC20)&gt;0,VLOOKUP(AC20,'1. Lists'!$AV$3:$AX$7,3,FALSE),"")</f>
        <v>3</v>
      </c>
      <c r="AC20" s="133" t="s">
        <v>4</v>
      </c>
      <c r="AD20" s="66">
        <f>IF(LEN(AE20)&gt;0,VLOOKUP(AE20,'1. Lists'!$AZ$3:$BB$7,3,FALSE),"")</f>
        <v>2</v>
      </c>
      <c r="AE20" s="122" t="s">
        <v>9</v>
      </c>
      <c r="AF20" s="123"/>
      <c r="AG20" s="123"/>
      <c r="AH20" s="66">
        <f>IF(LEN(AI20)&gt;0,VLOOKUP(AI20,'1. Lists'!$BD$3:$BF$15,3,FALSE),"")</f>
        <v>5</v>
      </c>
      <c r="AI20" s="127" t="s">
        <v>340</v>
      </c>
      <c r="AJ20" s="134" t="s">
        <v>68</v>
      </c>
      <c r="AK20" s="135" t="s">
        <v>461</v>
      </c>
      <c r="AL20" s="125" t="s">
        <v>428</v>
      </c>
      <c r="AM20" s="145" t="s">
        <v>762</v>
      </c>
      <c r="AN20" s="123"/>
      <c r="AO20" s="145">
        <v>0.85</v>
      </c>
      <c r="AP20" s="137" t="s">
        <v>798</v>
      </c>
      <c r="AQ20" s="123"/>
      <c r="AR20" s="123"/>
      <c r="AS20" s="123"/>
      <c r="AT20" s="123"/>
      <c r="AU20" s="135" t="s">
        <v>460</v>
      </c>
      <c r="AV20" s="80" t="str">
        <f>IF(LEN(AW20)&gt;0,VLOOKUP(AW20,'1. Lists'!$BQ:$BR,2,FALSE),"")</f>
        <v>LAST</v>
      </c>
      <c r="AW20" s="120" t="s">
        <v>190</v>
      </c>
      <c r="AX20" s="80">
        <f>IF(LEN(AY20)&gt;0,VLOOKUP(AY20,'1. Lists'!$BU$3:$BW$5,3,FALSE),"")</f>
        <v>2</v>
      </c>
      <c r="AY20" s="138" t="s">
        <v>82</v>
      </c>
      <c r="AZ20" s="139">
        <v>85</v>
      </c>
      <c r="BA20" s="82">
        <f t="shared" si="0"/>
        <v>85</v>
      </c>
      <c r="BC20" s="141">
        <v>0</v>
      </c>
      <c r="BD20" s="141">
        <v>0</v>
      </c>
      <c r="BE20" s="141">
        <v>0</v>
      </c>
      <c r="BF20" s="141">
        <v>0</v>
      </c>
      <c r="BG20" s="141">
        <v>0</v>
      </c>
      <c r="BH20" s="141">
        <v>0</v>
      </c>
      <c r="BI20" s="141">
        <v>0</v>
      </c>
      <c r="BJ20" s="141">
        <v>0</v>
      </c>
      <c r="BK20" s="141">
        <v>0</v>
      </c>
      <c r="BL20" s="141">
        <v>0</v>
      </c>
      <c r="BM20" s="141">
        <v>0</v>
      </c>
      <c r="BN20" s="141">
        <v>85</v>
      </c>
      <c r="BP20" s="66">
        <f t="shared" si="1"/>
        <v>85</v>
      </c>
      <c r="BQ20" s="66">
        <f t="shared" si="2"/>
        <v>85</v>
      </c>
      <c r="BR20" s="66">
        <f t="shared" si="3"/>
        <v>85</v>
      </c>
      <c r="BU20" s="66">
        <f t="shared" si="4"/>
        <v>85</v>
      </c>
      <c r="BV20" s="66">
        <f t="shared" si="5"/>
        <v>85</v>
      </c>
      <c r="BW20" s="66">
        <f t="shared" si="6"/>
        <v>85</v>
      </c>
    </row>
    <row r="21" spans="1:75" ht="75" x14ac:dyDescent="0.25">
      <c r="A21" s="92">
        <f t="shared" si="7"/>
        <v>18</v>
      </c>
      <c r="B21" s="66">
        <f>IF(LEN(D21)&gt;0,VLOOKUP(D21,'1. Lists'!$E$3:$J$52,6,FALSE),"")</f>
        <v>3</v>
      </c>
      <c r="C21" s="66" t="str">
        <f>IF(LEN(D21)&gt;0,VLOOKUP(D21,'1. Lists'!$E$3:$F$52,2,FALSE),"")</f>
        <v>Office of the Municipal Manager</v>
      </c>
      <c r="D21" s="120" t="s">
        <v>364</v>
      </c>
      <c r="E21" s="121"/>
      <c r="F21" s="65"/>
      <c r="H21" s="66">
        <f>IF(LEN(I21)&gt;0,VLOOKUP(I21,'1. Lists'!$T:$U,2,FALSE),"")</f>
        <v>67</v>
      </c>
      <c r="I21" s="122" t="s">
        <v>437</v>
      </c>
      <c r="J21" s="123"/>
      <c r="K21" s="66">
        <f>IF(LEN(L21)&gt;0,VLOOKUP(L21,'1. Lists'!$AK:$AL,2,FALSE),"")</f>
        <v>9</v>
      </c>
      <c r="L21" s="124" t="s">
        <v>159</v>
      </c>
      <c r="M21" s="70">
        <f>IF(LEN(N21)&gt;0,VLOOKUP(N21,'1. Lists'!$AN:$AQ,4,FALSE),"")</f>
        <v>2</v>
      </c>
      <c r="N21" s="125" t="s">
        <v>382</v>
      </c>
      <c r="O21" s="66">
        <f>IF(LEN(P21)&gt;0,VLOOKUP(P21,'1. Lists'!$AA:$AC,3,FALSE),"")</f>
        <v>4</v>
      </c>
      <c r="P21" s="134" t="s">
        <v>41</v>
      </c>
      <c r="Q21" s="73">
        <f>IF(LEN(R21)&gt;0,VLOOKUP(R21,'1. Lists'!$W:$Y,3,FALSE),"")</f>
        <v>1</v>
      </c>
      <c r="R21" s="127" t="s">
        <v>169</v>
      </c>
      <c r="S21" s="73">
        <f>IF(LEN(T21)&gt;0,VLOOKUP(T21,'1. Lists'!$AH:$AI,2,FALSE),"")</f>
        <v>11</v>
      </c>
      <c r="T21" s="128" t="s">
        <v>396</v>
      </c>
      <c r="U21" s="76">
        <f>IF(LEN(V21)&gt;0,VLOOKUP(V21,'1. Lists'!$AE:$AF,2,FALSE),"")</f>
        <v>11</v>
      </c>
      <c r="V21" s="129" t="s">
        <v>355</v>
      </c>
      <c r="W21" s="130"/>
      <c r="X21" s="131"/>
      <c r="Z21" s="150" t="s">
        <v>787</v>
      </c>
      <c r="AA21" s="150" t="s">
        <v>788</v>
      </c>
      <c r="AB21" s="66">
        <f>IF(LEN(AC21)&gt;0,VLOOKUP(AC21,'1. Lists'!$AV$3:$AX$7,3,FALSE),"")</f>
        <v>3</v>
      </c>
      <c r="AC21" s="133" t="s">
        <v>4</v>
      </c>
      <c r="AD21" s="66">
        <f>IF(LEN(AE21)&gt;0,VLOOKUP(AE21,'1. Lists'!$AZ$3:$BB$7,3,FALSE),"")</f>
        <v>2</v>
      </c>
      <c r="AE21" s="122" t="s">
        <v>9</v>
      </c>
      <c r="AF21" s="123"/>
      <c r="AG21" s="123"/>
      <c r="AH21" s="66">
        <f>IF(LEN(AI21)&gt;0,VLOOKUP(AI21,'1. Lists'!$BD$3:$BF$15,3,FALSE),"")</f>
        <v>5</v>
      </c>
      <c r="AI21" s="127" t="s">
        <v>340</v>
      </c>
      <c r="AJ21" s="134" t="s">
        <v>68</v>
      </c>
      <c r="AK21" s="135" t="s">
        <v>461</v>
      </c>
      <c r="AL21" s="125" t="s">
        <v>428</v>
      </c>
      <c r="AM21" s="145" t="s">
        <v>762</v>
      </c>
      <c r="AN21" s="123"/>
      <c r="AO21" s="145" t="s">
        <v>842</v>
      </c>
      <c r="AP21" s="137" t="s">
        <v>790</v>
      </c>
      <c r="AQ21" s="123"/>
      <c r="AR21" s="123"/>
      <c r="AS21" s="123"/>
      <c r="AT21" s="123"/>
      <c r="AU21" s="135" t="s">
        <v>460</v>
      </c>
      <c r="AV21" s="80" t="str">
        <f>IF(LEN(AW21)&gt;0,VLOOKUP(AW21,'1. Lists'!$BQ:$BR,2,FALSE),"")</f>
        <v>LAST</v>
      </c>
      <c r="AW21" s="120" t="s">
        <v>190</v>
      </c>
      <c r="AX21" s="80">
        <f>IF(LEN(AY21)&gt;0,VLOOKUP(AY21,'1. Lists'!$BU$3:$BW$5,3,FALSE),"")</f>
        <v>3</v>
      </c>
      <c r="AY21" s="138" t="s">
        <v>83</v>
      </c>
      <c r="AZ21" s="139">
        <v>1</v>
      </c>
      <c r="BA21" s="82">
        <f t="shared" ref="BA21" si="15">IF(LEN(AZ21)&gt;0,AZ21,"")</f>
        <v>1</v>
      </c>
      <c r="BC21" s="141">
        <v>0</v>
      </c>
      <c r="BD21" s="141">
        <v>0</v>
      </c>
      <c r="BE21" s="141">
        <v>0</v>
      </c>
      <c r="BF21" s="141">
        <v>1</v>
      </c>
      <c r="BG21" s="141">
        <v>0</v>
      </c>
      <c r="BH21" s="141">
        <v>0</v>
      </c>
      <c r="BI21" s="141">
        <v>0</v>
      </c>
      <c r="BJ21" s="141">
        <v>0</v>
      </c>
      <c r="BK21" s="141">
        <v>0</v>
      </c>
      <c r="BL21" s="141">
        <v>0</v>
      </c>
      <c r="BM21" s="141">
        <v>0</v>
      </c>
      <c r="BN21" s="141">
        <v>0</v>
      </c>
      <c r="BP21" s="66">
        <f t="shared" ref="BP21" si="16">MAX(BC21:BN21)</f>
        <v>1</v>
      </c>
      <c r="BQ21" s="66">
        <f t="shared" ref="BQ21" si="17">SUM(BC21:BN21)</f>
        <v>1</v>
      </c>
      <c r="BR21" s="66">
        <f t="shared" ref="BR21" si="18">IF(SUM(BC21:BN21)&gt;0,SUM(BC21:BN21)/COUNTIF(BC21:BN21,"&gt;0"),0)</f>
        <v>1</v>
      </c>
      <c r="BU21" s="66">
        <f t="shared" ref="BU21" si="19">IF(SUM(BC21:BN21)&gt;0,SUM(BC21:BN21)/COUNTIF(BC21:BN21,"&gt;0"),0)</f>
        <v>1</v>
      </c>
      <c r="BV21" s="66">
        <f t="shared" ref="BV21" si="20">IF(BN21&gt;0,BN21,IF(BM21&gt;0,BM21,IF(BL21&gt;0,BL21,IF(BK21&gt;0,BK21,IF(BJ21&gt;0,BJ21,IF(BI21&gt;0,BI21,IF(BH21&gt;0,BH21,IF(BG21&gt;0,BG21,IF(BF21&gt;0,BF21,IF(BE21&gt;0,BE21,IF(BD21&gt;0,BD21,BC21)))))))))))</f>
        <v>1</v>
      </c>
      <c r="BW21" s="66">
        <f t="shared" ref="BW21" si="21">IF(BN21&gt;0,BN21,IF(BM21&gt;0,BM21,IF(BL21&gt;0,BL21,IF(BK21&gt;0,BK21,IF(BJ21&gt;0,BJ21,IF(BI21&gt;0,BI21,IF(BH21&gt;0,BH21,IF(BG21&gt;0,BG21,IF(BF21&gt;0,BF21,IF(BE21&gt;0,BE21,IF(BD21&gt;0,BD21,BC21)))))))))))</f>
        <v>1</v>
      </c>
    </row>
    <row r="22" spans="1:75" ht="75" x14ac:dyDescent="0.25">
      <c r="A22" s="92">
        <f t="shared" si="7"/>
        <v>19</v>
      </c>
      <c r="B22" s="66">
        <f>IF(LEN(D22)&gt;0,VLOOKUP(D22,'1. Lists'!$E$3:$J$52,6,FALSE),"")</f>
        <v>2</v>
      </c>
      <c r="C22" s="66" t="str">
        <f>IF(LEN(D22)&gt;0,VLOOKUP(D22,'1. Lists'!$E$3:$F$52,2,FALSE),"")</f>
        <v>Office of the Municipal Manager</v>
      </c>
      <c r="D22" s="120" t="s">
        <v>363</v>
      </c>
      <c r="E22" s="121"/>
      <c r="F22" s="65" t="str">
        <f>IF(E22&gt;0,VLOOKUP(E22,'2. Top Layer'!$A:$C,3,FALSE),"")</f>
        <v/>
      </c>
      <c r="G22" s="65" t="str">
        <f>IF(E22&gt;0,VLOOKUP(E22,'2. Top Layer'!$A:$T,17,FALSE),"")</f>
        <v/>
      </c>
      <c r="H22" s="66">
        <f>IF(LEN(I22)&gt;0,VLOOKUP(I22,'1. Lists'!$T:$U,2,FALSE),"")</f>
        <v>95</v>
      </c>
      <c r="I22" s="122" t="s">
        <v>440</v>
      </c>
      <c r="J22" s="123"/>
      <c r="K22" s="66">
        <f>IF(LEN(L22)&gt;0,VLOOKUP(L22,'1. Lists'!$AK:$AL,2,FALSE),"")</f>
        <v>9</v>
      </c>
      <c r="L22" s="124" t="s">
        <v>159</v>
      </c>
      <c r="M22" s="70">
        <f>IF(LEN(N22)&gt;0,VLOOKUP(N22,'1. Lists'!$AN:$AQ,4,FALSE),"")</f>
        <v>2</v>
      </c>
      <c r="N22" s="125" t="s">
        <v>382</v>
      </c>
      <c r="O22" s="66">
        <f>IF(LEN(P22)&gt;0,VLOOKUP(P22,'1. Lists'!$AA:$AC,3,FALSE),"")</f>
        <v>5</v>
      </c>
      <c r="P22" s="134" t="s">
        <v>42</v>
      </c>
      <c r="Q22" s="73">
        <f>IF(LEN(R22)&gt;0,VLOOKUP(R22,'1. Lists'!$W:$Y,3,FALSE),"")</f>
        <v>1</v>
      </c>
      <c r="R22" s="127" t="s">
        <v>169</v>
      </c>
      <c r="S22" s="73">
        <f>IF(LEN(T22)&gt;0,VLOOKUP(T22,'1. Lists'!$AH:$AI,2,FALSE),"")</f>
        <v>11</v>
      </c>
      <c r="T22" s="128" t="s">
        <v>396</v>
      </c>
      <c r="U22" s="76">
        <f>IF(LEN(V22)&gt;0,VLOOKUP(V22,'1. Lists'!$AE:$AF,2,FALSE),"")</f>
        <v>11</v>
      </c>
      <c r="V22" s="129" t="s">
        <v>355</v>
      </c>
      <c r="W22" s="130"/>
      <c r="X22" s="131" t="str">
        <f>IF(W22&gt;0,VLOOKUP($W22,#REF!,4,FALSE),"")</f>
        <v/>
      </c>
      <c r="Y22" s="78" t="str">
        <f>IF(W22&gt;0,VLOOKUP($W22,#REF!,10,FALSE),"")</f>
        <v/>
      </c>
      <c r="Z22" s="132" t="s">
        <v>465</v>
      </c>
      <c r="AA22" s="132" t="s">
        <v>466</v>
      </c>
      <c r="AB22" s="66">
        <f>IF(LEN(AC22)&gt;0,VLOOKUP(AC22,'1. Lists'!$AV$3:$AX$7,3,FALSE),"")</f>
        <v>3</v>
      </c>
      <c r="AC22" s="133" t="s">
        <v>4</v>
      </c>
      <c r="AD22" s="66">
        <f>IF(LEN(AE22)&gt;0,VLOOKUP(AE22,'1. Lists'!$AZ$3:$BB$7,3,FALSE),"")</f>
        <v>2</v>
      </c>
      <c r="AE22" s="122" t="s">
        <v>9</v>
      </c>
      <c r="AF22" s="123"/>
      <c r="AG22" s="123"/>
      <c r="AH22" s="66">
        <f>IF(LEN(AI22)&gt;0,VLOOKUP(AI22,'1. Lists'!$BD$3:$BF$15,3,FALSE),"")</f>
        <v>5</v>
      </c>
      <c r="AI22" s="127" t="s">
        <v>340</v>
      </c>
      <c r="AJ22" s="134" t="s">
        <v>68</v>
      </c>
      <c r="AK22" s="135" t="s">
        <v>461</v>
      </c>
      <c r="AL22" s="125" t="s">
        <v>421</v>
      </c>
      <c r="AM22" s="145">
        <v>1</v>
      </c>
      <c r="AN22" s="123"/>
      <c r="AO22" s="136" t="s">
        <v>569</v>
      </c>
      <c r="AP22" s="137" t="s">
        <v>570</v>
      </c>
      <c r="AQ22" s="123"/>
      <c r="AR22" s="123"/>
      <c r="AS22" s="123"/>
      <c r="AT22" s="123"/>
      <c r="AU22" s="135" t="s">
        <v>460</v>
      </c>
      <c r="AV22" s="80" t="str">
        <f>IF(LEN(AW22)&gt;0,VLOOKUP(AW22,'1. Lists'!$BQ:$BR,2,FALSE),"")</f>
        <v>CO</v>
      </c>
      <c r="AW22" s="120" t="s">
        <v>12</v>
      </c>
      <c r="AX22" s="80">
        <f>IF(LEN(AY22)&gt;0,VLOOKUP(AY22,'1. Lists'!$BU$3:$BW$5,3,FALSE),"")</f>
        <v>2</v>
      </c>
      <c r="AY22" s="138" t="s">
        <v>82</v>
      </c>
      <c r="AZ22" s="139">
        <v>100</v>
      </c>
      <c r="BA22" s="82">
        <f t="shared" si="0"/>
        <v>100</v>
      </c>
      <c r="BC22" s="141">
        <v>0</v>
      </c>
      <c r="BD22" s="141">
        <v>0</v>
      </c>
      <c r="BE22" s="141">
        <v>0</v>
      </c>
      <c r="BF22" s="141">
        <v>0</v>
      </c>
      <c r="BG22" s="141">
        <v>0</v>
      </c>
      <c r="BH22" s="141">
        <v>0</v>
      </c>
      <c r="BI22" s="141">
        <v>0</v>
      </c>
      <c r="BJ22" s="141">
        <v>0</v>
      </c>
      <c r="BK22" s="141">
        <v>0</v>
      </c>
      <c r="BL22" s="141">
        <v>0</v>
      </c>
      <c r="BM22" s="141">
        <v>0</v>
      </c>
      <c r="BN22" s="141">
        <v>100</v>
      </c>
      <c r="BP22" s="66">
        <f t="shared" si="1"/>
        <v>100</v>
      </c>
      <c r="BQ22" s="66">
        <f t="shared" si="2"/>
        <v>100</v>
      </c>
      <c r="BR22" s="66">
        <f t="shared" si="3"/>
        <v>100</v>
      </c>
      <c r="BS22" s="66">
        <v>0</v>
      </c>
      <c r="BU22" s="66">
        <f t="shared" si="4"/>
        <v>100</v>
      </c>
      <c r="BV22" s="66">
        <f t="shared" si="5"/>
        <v>100</v>
      </c>
      <c r="BW22" s="66">
        <f t="shared" si="6"/>
        <v>100</v>
      </c>
    </row>
    <row r="23" spans="1:75" ht="75" x14ac:dyDescent="0.25">
      <c r="A23" s="92">
        <f t="shared" si="7"/>
        <v>20</v>
      </c>
      <c r="B23" s="66">
        <f>IF(LEN(D23)&gt;0,VLOOKUP(D23,'1. Lists'!$E$3:$J$52,6,FALSE),"")</f>
        <v>2</v>
      </c>
      <c r="C23" s="66" t="str">
        <f>IF(LEN(D23)&gt;0,VLOOKUP(D23,'1. Lists'!$E$3:$F$52,2,FALSE),"")</f>
        <v>Office of the Municipal Manager</v>
      </c>
      <c r="D23" s="120" t="s">
        <v>363</v>
      </c>
      <c r="E23" s="121"/>
      <c r="F23" s="65" t="str">
        <f>IF(E23&gt;0,VLOOKUP(E23,'2. Top Layer'!$A:$C,3,FALSE),"")</f>
        <v/>
      </c>
      <c r="G23" s="65" t="str">
        <f>IF(E23&gt;0,VLOOKUP(E23,'2. Top Layer'!$A:$T,17,FALSE),"")</f>
        <v/>
      </c>
      <c r="H23" s="66">
        <f>IF(LEN(I23)&gt;0,VLOOKUP(I23,'1. Lists'!$T:$U,2,FALSE),"")</f>
        <v>95</v>
      </c>
      <c r="I23" s="122" t="s">
        <v>440</v>
      </c>
      <c r="J23" s="123"/>
      <c r="K23" s="66">
        <f>IF(LEN(L23)&gt;0,VLOOKUP(L23,'1. Lists'!$AK:$AL,2,FALSE),"")</f>
        <v>9</v>
      </c>
      <c r="L23" s="124" t="s">
        <v>159</v>
      </c>
      <c r="M23" s="70">
        <f>IF(LEN(N23)&gt;0,VLOOKUP(N23,'1. Lists'!$AN:$AQ,4,FALSE),"")</f>
        <v>2</v>
      </c>
      <c r="N23" s="125" t="s">
        <v>382</v>
      </c>
      <c r="O23" s="66">
        <f>IF(LEN(P23)&gt;0,VLOOKUP(P23,'1. Lists'!$AA:$AC,3,FALSE),"")</f>
        <v>5</v>
      </c>
      <c r="P23" s="134" t="s">
        <v>42</v>
      </c>
      <c r="Q23" s="73">
        <f>IF(LEN(R23)&gt;0,VLOOKUP(R23,'1. Lists'!$W:$Y,3,FALSE),"")</f>
        <v>1</v>
      </c>
      <c r="R23" s="127" t="s">
        <v>169</v>
      </c>
      <c r="S23" s="73">
        <f>IF(LEN(T23)&gt;0,VLOOKUP(T23,'1. Lists'!$AH:$AI,2,FALSE),"")</f>
        <v>5</v>
      </c>
      <c r="T23" s="128" t="s">
        <v>390</v>
      </c>
      <c r="U23" s="76">
        <f>IF(LEN(V23)&gt;0,VLOOKUP(V23,'1. Lists'!$AE:$AF,2,FALSE),"")</f>
        <v>11</v>
      </c>
      <c r="V23" s="129" t="s">
        <v>355</v>
      </c>
      <c r="W23" s="130"/>
      <c r="X23" s="131" t="str">
        <f>IF(W23&gt;0,VLOOKUP($W23,#REF!,4,FALSE),"")</f>
        <v/>
      </c>
      <c r="Y23" s="78" t="str">
        <f>IF(W23&gt;0,VLOOKUP($W23,#REF!,10,FALSE),"")</f>
        <v/>
      </c>
      <c r="Z23" s="132" t="s">
        <v>469</v>
      </c>
      <c r="AA23" s="132" t="s">
        <v>464</v>
      </c>
      <c r="AB23" s="66">
        <f>IF(LEN(AC23)&gt;0,VLOOKUP(AC23,'1. Lists'!$AV$3:$AX$7,3,FALSE),"")</f>
        <v>2</v>
      </c>
      <c r="AC23" s="133" t="s">
        <v>13</v>
      </c>
      <c r="AD23" s="66">
        <f>IF(LEN(AE23)&gt;0,VLOOKUP(AE23,'1. Lists'!$AZ$3:$BB$7,3,FALSE),"")</f>
        <v>1</v>
      </c>
      <c r="AE23" s="122" t="s">
        <v>15</v>
      </c>
      <c r="AF23" s="123"/>
      <c r="AG23" s="123"/>
      <c r="AH23" s="66">
        <f>IF(LEN(AI23)&gt;0,VLOOKUP(AI23,'1. Lists'!$BD$3:$BF$15,3,FALSE),"")</f>
        <v>5</v>
      </c>
      <c r="AI23" s="127" t="s">
        <v>340</v>
      </c>
      <c r="AJ23" s="134" t="s">
        <v>68</v>
      </c>
      <c r="AK23" s="135" t="s">
        <v>461</v>
      </c>
      <c r="AL23" s="125" t="s">
        <v>413</v>
      </c>
      <c r="AM23" s="136">
        <v>4</v>
      </c>
      <c r="AN23" s="123"/>
      <c r="AO23" s="136" t="s">
        <v>565</v>
      </c>
      <c r="AP23" s="137" t="s">
        <v>575</v>
      </c>
      <c r="AQ23" s="123"/>
      <c r="AR23" s="123"/>
      <c r="AS23" s="123"/>
      <c r="AT23" s="123"/>
      <c r="AU23" s="135" t="s">
        <v>460</v>
      </c>
      <c r="AV23" s="80" t="str">
        <f>IF(LEN(AW23)&gt;0,VLOOKUP(AW23,'1. Lists'!$BQ:$BR,2,FALSE),"")</f>
        <v>ACC</v>
      </c>
      <c r="AW23" s="120" t="s">
        <v>14</v>
      </c>
      <c r="AX23" s="80">
        <f>IF(LEN(AY23)&gt;0,VLOOKUP(AY23,'1. Lists'!$BU$3:$BW$5,3,FALSE),"")</f>
        <v>3</v>
      </c>
      <c r="AY23" s="138" t="s">
        <v>83</v>
      </c>
      <c r="AZ23" s="139">
        <v>4</v>
      </c>
      <c r="BA23" s="82">
        <f t="shared" si="0"/>
        <v>4</v>
      </c>
      <c r="BC23" s="141">
        <v>0</v>
      </c>
      <c r="BD23" s="141">
        <v>0</v>
      </c>
      <c r="BE23" s="141">
        <v>1</v>
      </c>
      <c r="BF23" s="141">
        <v>0</v>
      </c>
      <c r="BG23" s="141">
        <v>0</v>
      </c>
      <c r="BH23" s="141">
        <v>1</v>
      </c>
      <c r="BI23" s="141">
        <v>0</v>
      </c>
      <c r="BJ23" s="141">
        <v>0</v>
      </c>
      <c r="BK23" s="141">
        <v>1</v>
      </c>
      <c r="BL23" s="141">
        <v>0</v>
      </c>
      <c r="BM23" s="141">
        <v>0</v>
      </c>
      <c r="BN23" s="141">
        <v>1</v>
      </c>
      <c r="BP23" s="66">
        <f t="shared" si="1"/>
        <v>1</v>
      </c>
      <c r="BQ23" s="66">
        <f t="shared" si="2"/>
        <v>4</v>
      </c>
      <c r="BR23" s="66">
        <f t="shared" si="3"/>
        <v>1</v>
      </c>
      <c r="BS23" s="66">
        <v>0</v>
      </c>
      <c r="BU23" s="66">
        <f t="shared" si="4"/>
        <v>1</v>
      </c>
      <c r="BV23" s="66">
        <f t="shared" si="5"/>
        <v>1</v>
      </c>
      <c r="BW23" s="66">
        <f t="shared" si="6"/>
        <v>1</v>
      </c>
    </row>
    <row r="24" spans="1:75" ht="75" x14ac:dyDescent="0.25">
      <c r="A24" s="92">
        <f t="shared" si="7"/>
        <v>21</v>
      </c>
      <c r="B24" s="66">
        <f>IF(LEN(D24)&gt;0,VLOOKUP(D24,'1. Lists'!$E$3:$J$52,6,FALSE),"")</f>
        <v>2</v>
      </c>
      <c r="C24" s="66" t="str">
        <f>IF(LEN(D24)&gt;0,VLOOKUP(D24,'1. Lists'!$E$3:$F$52,2,FALSE),"")</f>
        <v>Office of the Municipal Manager</v>
      </c>
      <c r="D24" s="120" t="s">
        <v>363</v>
      </c>
      <c r="E24" s="121"/>
      <c r="F24" s="65" t="str">
        <f>IF(E24&gt;0,VLOOKUP(E24,'2. Top Layer'!$A:$C,3,FALSE),"")</f>
        <v/>
      </c>
      <c r="G24" s="65" t="str">
        <f>IF(E24&gt;0,VLOOKUP(E24,'2. Top Layer'!$A:$T,17,FALSE),"")</f>
        <v/>
      </c>
      <c r="H24" s="66">
        <f>IF(LEN(I24)&gt;0,VLOOKUP(I24,'1. Lists'!$T:$U,2,FALSE),"")</f>
        <v>95</v>
      </c>
      <c r="I24" s="122" t="s">
        <v>440</v>
      </c>
      <c r="J24" s="123"/>
      <c r="K24" s="66">
        <f>IF(LEN(L24)&gt;0,VLOOKUP(L24,'1. Lists'!$AK:$AL,2,FALSE),"")</f>
        <v>9</v>
      </c>
      <c r="L24" s="124" t="s">
        <v>159</v>
      </c>
      <c r="M24" s="70">
        <f>IF(LEN(N24)&gt;0,VLOOKUP(N24,'1. Lists'!$AN:$AQ,4,FALSE),"")</f>
        <v>2</v>
      </c>
      <c r="N24" s="125" t="s">
        <v>382</v>
      </c>
      <c r="O24" s="66">
        <f>IF(LEN(P24)&gt;0,VLOOKUP(P24,'1. Lists'!$AA:$AC,3,FALSE),"")</f>
        <v>5</v>
      </c>
      <c r="P24" s="134" t="s">
        <v>42</v>
      </c>
      <c r="Q24" s="73">
        <f>IF(LEN(R24)&gt;0,VLOOKUP(R24,'1. Lists'!$W:$Y,3,FALSE),"")</f>
        <v>1</v>
      </c>
      <c r="R24" s="127" t="s">
        <v>169</v>
      </c>
      <c r="S24" s="73">
        <f>IF(LEN(T24)&gt;0,VLOOKUP(T24,'1. Lists'!$AH:$AI,2,FALSE),"")</f>
        <v>5</v>
      </c>
      <c r="T24" s="128" t="s">
        <v>390</v>
      </c>
      <c r="U24" s="76">
        <f>IF(LEN(V24)&gt;0,VLOOKUP(V24,'1. Lists'!$AE:$AF,2,FALSE),"")</f>
        <v>11</v>
      </c>
      <c r="V24" s="129" t="s">
        <v>355</v>
      </c>
      <c r="W24" s="130"/>
      <c r="X24" s="131" t="str">
        <f>IF(W24&gt;0,VLOOKUP($W24,#REF!,4,FALSE),"")</f>
        <v/>
      </c>
      <c r="Y24" s="78" t="str">
        <f>IF(W24&gt;0,VLOOKUP($W24,#REF!,10,FALSE),"")</f>
        <v/>
      </c>
      <c r="Z24" s="132" t="s">
        <v>470</v>
      </c>
      <c r="AA24" s="132" t="s">
        <v>471</v>
      </c>
      <c r="AB24" s="66">
        <f>IF(LEN(AC24)&gt;0,VLOOKUP(AC24,'1. Lists'!$AV$3:$AX$7,3,FALSE),"")</f>
        <v>2</v>
      </c>
      <c r="AC24" s="133" t="s">
        <v>13</v>
      </c>
      <c r="AD24" s="66">
        <f>IF(LEN(AE24)&gt;0,VLOOKUP(AE24,'1. Lists'!$AZ$3:$BB$7,3,FALSE),"")</f>
        <v>1</v>
      </c>
      <c r="AE24" s="122" t="s">
        <v>15</v>
      </c>
      <c r="AF24" s="123"/>
      <c r="AG24" s="123"/>
      <c r="AH24" s="66">
        <f>IF(LEN(AI24)&gt;0,VLOOKUP(AI24,'1. Lists'!$BD$3:$BF$15,3,FALSE),"")</f>
        <v>5</v>
      </c>
      <c r="AI24" s="127" t="s">
        <v>340</v>
      </c>
      <c r="AJ24" s="134" t="s">
        <v>68</v>
      </c>
      <c r="AK24" s="135" t="s">
        <v>461</v>
      </c>
      <c r="AL24" s="125" t="s">
        <v>413</v>
      </c>
      <c r="AM24" s="136">
        <v>4</v>
      </c>
      <c r="AN24" s="123"/>
      <c r="AO24" s="136" t="s">
        <v>565</v>
      </c>
      <c r="AP24" s="137" t="s">
        <v>576</v>
      </c>
      <c r="AQ24" s="123"/>
      <c r="AR24" s="123"/>
      <c r="AS24" s="123"/>
      <c r="AT24" s="123"/>
      <c r="AU24" s="135" t="s">
        <v>460</v>
      </c>
      <c r="AV24" s="80" t="str">
        <f>IF(LEN(AW24)&gt;0,VLOOKUP(AW24,'1. Lists'!$BQ:$BR,2,FALSE),"")</f>
        <v>ACC</v>
      </c>
      <c r="AW24" s="120" t="s">
        <v>14</v>
      </c>
      <c r="AX24" s="80">
        <f>IF(LEN(AY24)&gt;0,VLOOKUP(AY24,'1. Lists'!$BU$3:$BW$5,3,FALSE),"")</f>
        <v>3</v>
      </c>
      <c r="AY24" s="138" t="s">
        <v>83</v>
      </c>
      <c r="AZ24" s="139">
        <v>4</v>
      </c>
      <c r="BA24" s="82">
        <f t="shared" si="0"/>
        <v>4</v>
      </c>
      <c r="BC24" s="141">
        <v>0</v>
      </c>
      <c r="BD24" s="141">
        <v>0</v>
      </c>
      <c r="BE24" s="141">
        <v>1</v>
      </c>
      <c r="BF24" s="141">
        <v>0</v>
      </c>
      <c r="BG24" s="141">
        <v>0</v>
      </c>
      <c r="BH24" s="141">
        <v>1</v>
      </c>
      <c r="BI24" s="141">
        <v>0</v>
      </c>
      <c r="BJ24" s="141">
        <v>0</v>
      </c>
      <c r="BK24" s="141">
        <v>1</v>
      </c>
      <c r="BL24" s="141">
        <v>0</v>
      </c>
      <c r="BM24" s="141">
        <v>0</v>
      </c>
      <c r="BN24" s="141">
        <v>1</v>
      </c>
      <c r="BP24" s="66">
        <f t="shared" si="1"/>
        <v>1</v>
      </c>
      <c r="BQ24" s="66">
        <f t="shared" si="2"/>
        <v>4</v>
      </c>
      <c r="BR24" s="66">
        <f t="shared" si="3"/>
        <v>1</v>
      </c>
      <c r="BS24" s="66">
        <v>0</v>
      </c>
      <c r="BU24" s="66">
        <f t="shared" si="4"/>
        <v>1</v>
      </c>
      <c r="BV24" s="66">
        <f t="shared" si="5"/>
        <v>1</v>
      </c>
      <c r="BW24" s="66">
        <f t="shared" si="6"/>
        <v>1</v>
      </c>
    </row>
    <row r="25" spans="1:75" ht="75" x14ac:dyDescent="0.25">
      <c r="A25" s="92">
        <f t="shared" si="7"/>
        <v>22</v>
      </c>
      <c r="B25" s="66">
        <f>IF(LEN(D25)&gt;0,VLOOKUP(D25,'1. Lists'!$E$3:$J$52,6,FALSE),"")</f>
        <v>2</v>
      </c>
      <c r="C25" s="66" t="str">
        <f>IF(LEN(D25)&gt;0,VLOOKUP(D25,'1. Lists'!$E$3:$F$52,2,FALSE),"")</f>
        <v>Office of the Municipal Manager</v>
      </c>
      <c r="D25" s="120" t="s">
        <v>363</v>
      </c>
      <c r="E25" s="121"/>
      <c r="F25" s="65" t="str">
        <f>IF(E25&gt;0,VLOOKUP(E25,'2. Top Layer'!$A:$C,3,FALSE),"")</f>
        <v/>
      </c>
      <c r="G25" s="65" t="str">
        <f>IF(E25&gt;0,VLOOKUP(E25,'2. Top Layer'!$A:$T,17,FALSE),"")</f>
        <v/>
      </c>
      <c r="H25" s="66">
        <f>IF(LEN(I25)&gt;0,VLOOKUP(I25,'1. Lists'!$T:$U,2,FALSE),"")</f>
        <v>64</v>
      </c>
      <c r="I25" s="122" t="s">
        <v>435</v>
      </c>
      <c r="J25" s="123"/>
      <c r="K25" s="66">
        <f>IF(LEN(L25)&gt;0,VLOOKUP(L25,'1. Lists'!$AK:$AL,2,FALSE),"")</f>
        <v>9</v>
      </c>
      <c r="L25" s="124" t="s">
        <v>159</v>
      </c>
      <c r="M25" s="70">
        <f>IF(LEN(N25)&gt;0,VLOOKUP(N25,'1. Lists'!$AN:$AQ,4,FALSE),"")</f>
        <v>2</v>
      </c>
      <c r="N25" s="125" t="s">
        <v>382</v>
      </c>
      <c r="O25" s="66">
        <f>IF(LEN(P25)&gt;0,VLOOKUP(P25,'1. Lists'!$AA:$AC,3,FALSE),"")</f>
        <v>5</v>
      </c>
      <c r="P25" s="134" t="s">
        <v>42</v>
      </c>
      <c r="Q25" s="73">
        <f>IF(LEN(R25)&gt;0,VLOOKUP(R25,'1. Lists'!$W:$Y,3,FALSE),"")</f>
        <v>1</v>
      </c>
      <c r="R25" s="127" t="s">
        <v>169</v>
      </c>
      <c r="S25" s="73">
        <f>IF(LEN(T25)&gt;0,VLOOKUP(T25,'1. Lists'!$AH:$AI,2,FALSE),"")</f>
        <v>11</v>
      </c>
      <c r="T25" s="128" t="s">
        <v>396</v>
      </c>
      <c r="U25" s="76">
        <f>IF(LEN(V25)&gt;0,VLOOKUP(V25,'1. Lists'!$AE:$AF,2,FALSE),"")</f>
        <v>11</v>
      </c>
      <c r="V25" s="129" t="s">
        <v>355</v>
      </c>
      <c r="W25" s="130"/>
      <c r="X25" s="131" t="str">
        <f>IF(W25&gt;0,VLOOKUP($W25,#REF!,4,FALSE),"")</f>
        <v/>
      </c>
      <c r="Y25" s="78" t="str">
        <f>IF(W25&gt;0,VLOOKUP($W25,#REF!,10,FALSE),"")</f>
        <v/>
      </c>
      <c r="Z25" s="150" t="s">
        <v>791</v>
      </c>
      <c r="AA25" s="150" t="s">
        <v>468</v>
      </c>
      <c r="AB25" s="66">
        <f>IF(LEN(AC25)&gt;0,VLOOKUP(AC25,'1. Lists'!$AV$3:$AX$7,3,FALSE),"")</f>
        <v>2</v>
      </c>
      <c r="AC25" s="133" t="s">
        <v>13</v>
      </c>
      <c r="AD25" s="66">
        <f>IF(LEN(AE25)&gt;0,VLOOKUP(AE25,'1. Lists'!$AZ$3:$BB$7,3,FALSE),"")</f>
        <v>2</v>
      </c>
      <c r="AE25" s="122" t="s">
        <v>9</v>
      </c>
      <c r="AF25" s="123"/>
      <c r="AG25" s="123"/>
      <c r="AH25" s="66">
        <f>IF(LEN(AI25)&gt;0,VLOOKUP(AI25,'1. Lists'!$BD$3:$BF$15,3,FALSE),"")</f>
        <v>5</v>
      </c>
      <c r="AI25" s="127" t="s">
        <v>340</v>
      </c>
      <c r="AJ25" s="134" t="s">
        <v>68</v>
      </c>
      <c r="AK25" s="135" t="s">
        <v>461</v>
      </c>
      <c r="AL25" s="125" t="s">
        <v>421</v>
      </c>
      <c r="AM25" s="136">
        <v>10</v>
      </c>
      <c r="AN25" s="123"/>
      <c r="AO25" s="136" t="s">
        <v>601</v>
      </c>
      <c r="AP25" s="137" t="s">
        <v>790</v>
      </c>
      <c r="AQ25" s="123"/>
      <c r="AR25" s="123"/>
      <c r="AS25" s="123"/>
      <c r="AT25" s="123"/>
      <c r="AU25" s="135" t="s">
        <v>460</v>
      </c>
      <c r="AV25" s="80" t="str">
        <f>IF(LEN(AW25)&gt;0,VLOOKUP(AW25,'1. Lists'!$BQ:$BR,2,FALSE),"")</f>
        <v>ACC</v>
      </c>
      <c r="AW25" s="120" t="s">
        <v>14</v>
      </c>
      <c r="AX25" s="80">
        <f>IF(LEN(AY25)&gt;0,VLOOKUP(AY25,'1. Lists'!$BU$3:$BW$5,3,FALSE),"")</f>
        <v>3</v>
      </c>
      <c r="AY25" s="138" t="s">
        <v>83</v>
      </c>
      <c r="AZ25" s="139">
        <v>12</v>
      </c>
      <c r="BA25" s="82">
        <f t="shared" si="0"/>
        <v>12</v>
      </c>
      <c r="BC25" s="141">
        <v>1</v>
      </c>
      <c r="BD25" s="141">
        <v>1</v>
      </c>
      <c r="BE25" s="141">
        <v>1</v>
      </c>
      <c r="BF25" s="141">
        <v>1</v>
      </c>
      <c r="BG25" s="141">
        <v>1</v>
      </c>
      <c r="BH25" s="141">
        <v>1</v>
      </c>
      <c r="BI25" s="141">
        <v>1</v>
      </c>
      <c r="BJ25" s="141">
        <v>1</v>
      </c>
      <c r="BK25" s="141">
        <v>1</v>
      </c>
      <c r="BL25" s="141">
        <v>1</v>
      </c>
      <c r="BM25" s="141">
        <v>1</v>
      </c>
      <c r="BN25" s="141">
        <v>1</v>
      </c>
      <c r="BP25" s="66">
        <f t="shared" si="1"/>
        <v>1</v>
      </c>
      <c r="BQ25" s="66">
        <f t="shared" si="2"/>
        <v>12</v>
      </c>
      <c r="BR25" s="66">
        <f t="shared" si="3"/>
        <v>1</v>
      </c>
      <c r="BS25" s="66">
        <v>0</v>
      </c>
      <c r="BU25" s="66">
        <f t="shared" si="4"/>
        <v>1</v>
      </c>
      <c r="BV25" s="66">
        <f t="shared" si="5"/>
        <v>1</v>
      </c>
      <c r="BW25" s="66">
        <f t="shared" si="6"/>
        <v>1</v>
      </c>
    </row>
    <row r="26" spans="1:75" ht="75" x14ac:dyDescent="0.25">
      <c r="A26" s="92">
        <f t="shared" si="7"/>
        <v>23</v>
      </c>
      <c r="B26" s="66">
        <f>IF(LEN(D26)&gt;0,VLOOKUP(D26,'1. Lists'!$E$3:$J$52,6,FALSE),"")</f>
        <v>2</v>
      </c>
      <c r="C26" s="66" t="str">
        <f>IF(LEN(D26)&gt;0,VLOOKUP(D26,'1. Lists'!$E$3:$F$52,2,FALSE),"")</f>
        <v>Office of the Municipal Manager</v>
      </c>
      <c r="D26" s="120" t="s">
        <v>363</v>
      </c>
      <c r="E26" s="121"/>
      <c r="F26" s="65"/>
      <c r="H26" s="66">
        <f>IF(LEN(I26)&gt;0,VLOOKUP(I26,'1. Lists'!$T:$U,2,FALSE),"")</f>
        <v>67</v>
      </c>
      <c r="I26" s="122" t="s">
        <v>437</v>
      </c>
      <c r="J26" s="123"/>
      <c r="K26" s="66">
        <f>IF(LEN(L26)&gt;0,VLOOKUP(L26,'1. Lists'!$AK:$AL,2,FALSE),"")</f>
        <v>9</v>
      </c>
      <c r="L26" s="124" t="s">
        <v>159</v>
      </c>
      <c r="M26" s="70">
        <f>IF(LEN(N26)&gt;0,VLOOKUP(N26,'1. Lists'!$AN:$AQ,4,FALSE),"")</f>
        <v>2</v>
      </c>
      <c r="N26" s="125" t="s">
        <v>382</v>
      </c>
      <c r="O26" s="66">
        <f>IF(LEN(P26)&gt;0,VLOOKUP(P26,'1. Lists'!$AA:$AC,3,FALSE),"")</f>
        <v>4</v>
      </c>
      <c r="P26" s="134" t="s">
        <v>41</v>
      </c>
      <c r="Q26" s="73">
        <f>IF(LEN(R26)&gt;0,VLOOKUP(R26,'1. Lists'!$W:$Y,3,FALSE),"")</f>
        <v>1</v>
      </c>
      <c r="R26" s="127" t="s">
        <v>169</v>
      </c>
      <c r="S26" s="73">
        <f>IF(LEN(T26)&gt;0,VLOOKUP(T26,'1. Lists'!$AH:$AI,2,FALSE),"")</f>
        <v>11</v>
      </c>
      <c r="T26" s="128" t="s">
        <v>396</v>
      </c>
      <c r="U26" s="76">
        <f>IF(LEN(V26)&gt;0,VLOOKUP(V26,'1. Lists'!$AE:$AF,2,FALSE),"")</f>
        <v>11</v>
      </c>
      <c r="V26" s="129" t="s">
        <v>355</v>
      </c>
      <c r="W26" s="130"/>
      <c r="X26" s="131"/>
      <c r="Z26" s="150" t="s">
        <v>793</v>
      </c>
      <c r="AA26" s="150" t="s">
        <v>794</v>
      </c>
      <c r="AB26" s="66">
        <f>IF(LEN(AC26)&gt;0,VLOOKUP(AC26,'1. Lists'!$AV$3:$AX$7,3,FALSE),"")</f>
        <v>2</v>
      </c>
      <c r="AC26" s="133" t="s">
        <v>13</v>
      </c>
      <c r="AD26" s="66">
        <f>IF(LEN(AE26)&gt;0,VLOOKUP(AE26,'1. Lists'!$AZ$3:$BB$7,3,FALSE),"")</f>
        <v>2</v>
      </c>
      <c r="AE26" s="122" t="s">
        <v>9</v>
      </c>
      <c r="AF26" s="123"/>
      <c r="AG26" s="123"/>
      <c r="AH26" s="66">
        <f>IF(LEN(AI26)&gt;0,VLOOKUP(AI26,'1. Lists'!$BD$3:$BF$15,3,FALSE),"")</f>
        <v>5</v>
      </c>
      <c r="AI26" s="127" t="s">
        <v>340</v>
      </c>
      <c r="AJ26" s="134" t="s">
        <v>68</v>
      </c>
      <c r="AK26" s="135" t="s">
        <v>461</v>
      </c>
      <c r="AL26" s="125" t="s">
        <v>421</v>
      </c>
      <c r="AM26" s="145" t="s">
        <v>762</v>
      </c>
      <c r="AN26" s="123"/>
      <c r="AO26" s="136" t="s">
        <v>795</v>
      </c>
      <c r="AP26" s="137" t="s">
        <v>790</v>
      </c>
      <c r="AQ26" s="123"/>
      <c r="AR26" s="123"/>
      <c r="AS26" s="123"/>
      <c r="AT26" s="123"/>
      <c r="AU26" s="135" t="s">
        <v>460</v>
      </c>
      <c r="AV26" s="80" t="str">
        <f>IF(LEN(AW26)&gt;0,VLOOKUP(AW26,'1. Lists'!$BQ:$BR,2,FALSE),"")</f>
        <v>ACC</v>
      </c>
      <c r="AW26" s="120" t="s">
        <v>14</v>
      </c>
      <c r="AX26" s="80">
        <f>IF(LEN(AY26)&gt;0,VLOOKUP(AY26,'1. Lists'!$BU$3:$BW$5,3,FALSE),"")</f>
        <v>3</v>
      </c>
      <c r="AY26" s="138" t="s">
        <v>83</v>
      </c>
      <c r="AZ26" s="139">
        <v>12</v>
      </c>
      <c r="BA26" s="82">
        <f t="shared" si="0"/>
        <v>12</v>
      </c>
      <c r="BC26" s="141">
        <v>1</v>
      </c>
      <c r="BD26" s="141">
        <v>1</v>
      </c>
      <c r="BE26" s="141">
        <v>1</v>
      </c>
      <c r="BF26" s="141">
        <v>1</v>
      </c>
      <c r="BG26" s="141">
        <v>1</v>
      </c>
      <c r="BH26" s="141">
        <v>1</v>
      </c>
      <c r="BI26" s="141">
        <v>1</v>
      </c>
      <c r="BJ26" s="141">
        <v>1</v>
      </c>
      <c r="BK26" s="141">
        <v>1</v>
      </c>
      <c r="BL26" s="141">
        <v>1</v>
      </c>
      <c r="BM26" s="141">
        <v>1</v>
      </c>
      <c r="BN26" s="141">
        <v>1</v>
      </c>
      <c r="BP26" s="66">
        <f t="shared" si="1"/>
        <v>1</v>
      </c>
      <c r="BQ26" s="66">
        <f t="shared" si="2"/>
        <v>12</v>
      </c>
      <c r="BR26" s="66">
        <f t="shared" si="3"/>
        <v>1</v>
      </c>
      <c r="BU26" s="66">
        <f t="shared" si="4"/>
        <v>1</v>
      </c>
      <c r="BV26" s="66">
        <f t="shared" si="5"/>
        <v>1</v>
      </c>
      <c r="BW26" s="66">
        <f t="shared" si="6"/>
        <v>1</v>
      </c>
    </row>
    <row r="27" spans="1:75" ht="75" x14ac:dyDescent="0.25">
      <c r="A27" s="92">
        <f t="shared" si="7"/>
        <v>24</v>
      </c>
      <c r="B27" s="66">
        <f>IF(LEN(D27)&gt;0,VLOOKUP(D27,'1. Lists'!$E$3:$J$52,6,FALSE),"")</f>
        <v>2</v>
      </c>
      <c r="C27" s="66" t="str">
        <f>IF(LEN(D27)&gt;0,VLOOKUP(D27,'1. Lists'!$E$3:$F$52,2,FALSE),"")</f>
        <v>Office of the Municipal Manager</v>
      </c>
      <c r="D27" s="120" t="s">
        <v>363</v>
      </c>
      <c r="E27" s="121"/>
      <c r="F27" s="65"/>
      <c r="H27" s="66">
        <f>IF(LEN(I27)&gt;0,VLOOKUP(I27,'1. Lists'!$T:$U,2,FALSE),"")</f>
        <v>67</v>
      </c>
      <c r="I27" s="122" t="s">
        <v>437</v>
      </c>
      <c r="J27" s="123"/>
      <c r="K27" s="66">
        <f>IF(LEN(L27)&gt;0,VLOOKUP(L27,'1. Lists'!$AK:$AL,2,FALSE),"")</f>
        <v>9</v>
      </c>
      <c r="L27" s="124" t="s">
        <v>159</v>
      </c>
      <c r="M27" s="70">
        <f>IF(LEN(N27)&gt;0,VLOOKUP(N27,'1. Lists'!$AN:$AQ,4,FALSE),"")</f>
        <v>2</v>
      </c>
      <c r="N27" s="125" t="s">
        <v>382</v>
      </c>
      <c r="O27" s="66">
        <f>IF(LEN(P27)&gt;0,VLOOKUP(P27,'1. Lists'!$AA:$AC,3,FALSE),"")</f>
        <v>4</v>
      </c>
      <c r="P27" s="134" t="s">
        <v>41</v>
      </c>
      <c r="Q27" s="73">
        <f>IF(LEN(R27)&gt;0,VLOOKUP(R27,'1. Lists'!$W:$Y,3,FALSE),"")</f>
        <v>1</v>
      </c>
      <c r="R27" s="127" t="s">
        <v>169</v>
      </c>
      <c r="S27" s="73">
        <f>IF(LEN(T27)&gt;0,VLOOKUP(T27,'1. Lists'!$AH:$AI,2,FALSE),"")</f>
        <v>11</v>
      </c>
      <c r="T27" s="128" t="s">
        <v>396</v>
      </c>
      <c r="U27" s="76">
        <f>IF(LEN(V27)&gt;0,VLOOKUP(V27,'1. Lists'!$AE:$AF,2,FALSE),"")</f>
        <v>11</v>
      </c>
      <c r="V27" s="129" t="s">
        <v>355</v>
      </c>
      <c r="W27" s="130"/>
      <c r="X27" s="131"/>
      <c r="Z27" s="150" t="s">
        <v>796</v>
      </c>
      <c r="AA27" s="150" t="s">
        <v>797</v>
      </c>
      <c r="AB27" s="66">
        <f>IF(LEN(AC27)&gt;0,VLOOKUP(AC27,'1. Lists'!$AV$3:$AX$7,3,FALSE),"")</f>
        <v>3</v>
      </c>
      <c r="AC27" s="133" t="s">
        <v>4</v>
      </c>
      <c r="AD27" s="66">
        <f>IF(LEN(AE27)&gt;0,VLOOKUP(AE27,'1. Lists'!$AZ$3:$BB$7,3,FALSE),"")</f>
        <v>2</v>
      </c>
      <c r="AE27" s="122" t="s">
        <v>9</v>
      </c>
      <c r="AF27" s="123"/>
      <c r="AG27" s="123"/>
      <c r="AH27" s="66">
        <f>IF(LEN(AI27)&gt;0,VLOOKUP(AI27,'1. Lists'!$BD$3:$BF$15,3,FALSE),"")</f>
        <v>5</v>
      </c>
      <c r="AI27" s="127" t="s">
        <v>340</v>
      </c>
      <c r="AJ27" s="134" t="s">
        <v>68</v>
      </c>
      <c r="AK27" s="135" t="s">
        <v>461</v>
      </c>
      <c r="AL27" s="125" t="s">
        <v>421</v>
      </c>
      <c r="AM27" s="145" t="s">
        <v>762</v>
      </c>
      <c r="AN27" s="123"/>
      <c r="AO27" s="145">
        <v>0.85</v>
      </c>
      <c r="AP27" s="137" t="s">
        <v>798</v>
      </c>
      <c r="AQ27" s="123"/>
      <c r="AR27" s="123"/>
      <c r="AS27" s="123"/>
      <c r="AT27" s="123"/>
      <c r="AU27" s="135" t="s">
        <v>460</v>
      </c>
      <c r="AV27" s="80" t="str">
        <f>IF(LEN(AW27)&gt;0,VLOOKUP(AW27,'1. Lists'!$BQ:$BR,2,FALSE),"")</f>
        <v>LAST</v>
      </c>
      <c r="AW27" s="120" t="s">
        <v>190</v>
      </c>
      <c r="AX27" s="80">
        <f>IF(LEN(AY27)&gt;0,VLOOKUP(AY27,'1. Lists'!$BU$3:$BW$5,3,FALSE),"")</f>
        <v>2</v>
      </c>
      <c r="AY27" s="138" t="s">
        <v>82</v>
      </c>
      <c r="AZ27" s="139">
        <v>85</v>
      </c>
      <c r="BA27" s="82">
        <f t="shared" si="0"/>
        <v>85</v>
      </c>
      <c r="BC27" s="141">
        <v>0</v>
      </c>
      <c r="BD27" s="141">
        <v>0</v>
      </c>
      <c r="BE27" s="141">
        <v>0</v>
      </c>
      <c r="BF27" s="141">
        <v>0</v>
      </c>
      <c r="BG27" s="141">
        <v>0</v>
      </c>
      <c r="BH27" s="141">
        <v>0</v>
      </c>
      <c r="BI27" s="141">
        <v>0</v>
      </c>
      <c r="BJ27" s="141">
        <v>0</v>
      </c>
      <c r="BK27" s="141">
        <v>0</v>
      </c>
      <c r="BL27" s="141">
        <v>0</v>
      </c>
      <c r="BM27" s="141">
        <v>0</v>
      </c>
      <c r="BN27" s="141">
        <v>85</v>
      </c>
      <c r="BP27" s="66">
        <f t="shared" si="1"/>
        <v>85</v>
      </c>
      <c r="BQ27" s="66">
        <f t="shared" si="2"/>
        <v>85</v>
      </c>
      <c r="BR27" s="66">
        <f t="shared" si="3"/>
        <v>85</v>
      </c>
      <c r="BU27" s="66">
        <f t="shared" si="4"/>
        <v>85</v>
      </c>
      <c r="BV27" s="66">
        <f t="shared" si="5"/>
        <v>85</v>
      </c>
      <c r="BW27" s="66">
        <f t="shared" si="6"/>
        <v>85</v>
      </c>
    </row>
    <row r="28" spans="1:75" ht="75" x14ac:dyDescent="0.25">
      <c r="A28" s="92">
        <f t="shared" si="7"/>
        <v>25</v>
      </c>
      <c r="B28" s="66">
        <f>IF(LEN(D28)&gt;0,VLOOKUP(D28,'1. Lists'!$E$3:$J$52,6,FALSE),"")</f>
        <v>2</v>
      </c>
      <c r="C28" s="66" t="str">
        <f>IF(LEN(D28)&gt;0,VLOOKUP(D28,'1. Lists'!$E$3:$F$52,2,FALSE),"")</f>
        <v>Office of the Municipal Manager</v>
      </c>
      <c r="D28" s="120" t="s">
        <v>363</v>
      </c>
      <c r="E28" s="121"/>
      <c r="F28" s="65"/>
      <c r="H28" s="66">
        <f>IF(LEN(I28)&gt;0,VLOOKUP(I28,'1. Lists'!$T:$U,2,FALSE),"")</f>
        <v>67</v>
      </c>
      <c r="I28" s="122" t="s">
        <v>437</v>
      </c>
      <c r="J28" s="123"/>
      <c r="K28" s="66">
        <f>IF(LEN(L28)&gt;0,VLOOKUP(L28,'1. Lists'!$AK:$AL,2,FALSE),"")</f>
        <v>9</v>
      </c>
      <c r="L28" s="124" t="s">
        <v>159</v>
      </c>
      <c r="M28" s="70">
        <f>IF(LEN(N28)&gt;0,VLOOKUP(N28,'1. Lists'!$AN:$AQ,4,FALSE),"")</f>
        <v>2</v>
      </c>
      <c r="N28" s="125" t="s">
        <v>382</v>
      </c>
      <c r="O28" s="66">
        <f>IF(LEN(P28)&gt;0,VLOOKUP(P28,'1. Lists'!$AA:$AC,3,FALSE),"")</f>
        <v>4</v>
      </c>
      <c r="P28" s="134" t="s">
        <v>41</v>
      </c>
      <c r="Q28" s="73">
        <f>IF(LEN(R28)&gt;0,VLOOKUP(R28,'1. Lists'!$W:$Y,3,FALSE),"")</f>
        <v>1</v>
      </c>
      <c r="R28" s="127" t="s">
        <v>169</v>
      </c>
      <c r="S28" s="73">
        <f>IF(LEN(T28)&gt;0,VLOOKUP(T28,'1. Lists'!$AH:$AI,2,FALSE),"")</f>
        <v>11</v>
      </c>
      <c r="T28" s="128" t="s">
        <v>396</v>
      </c>
      <c r="U28" s="76">
        <f>IF(LEN(V28)&gt;0,VLOOKUP(V28,'1. Lists'!$AE:$AF,2,FALSE),"")</f>
        <v>11</v>
      </c>
      <c r="V28" s="129" t="s">
        <v>355</v>
      </c>
      <c r="W28" s="130"/>
      <c r="X28" s="131"/>
      <c r="Z28" s="150" t="s">
        <v>787</v>
      </c>
      <c r="AA28" s="150" t="s">
        <v>788</v>
      </c>
      <c r="AB28" s="66">
        <f>IF(LEN(AC28)&gt;0,VLOOKUP(AC28,'1. Lists'!$AV$3:$AX$7,3,FALSE),"")</f>
        <v>3</v>
      </c>
      <c r="AC28" s="133" t="s">
        <v>4</v>
      </c>
      <c r="AD28" s="66">
        <f>IF(LEN(AE28)&gt;0,VLOOKUP(AE28,'1. Lists'!$AZ$3:$BB$7,3,FALSE),"")</f>
        <v>2</v>
      </c>
      <c r="AE28" s="122" t="s">
        <v>9</v>
      </c>
      <c r="AF28" s="123"/>
      <c r="AG28" s="123"/>
      <c r="AH28" s="66">
        <f>IF(LEN(AI28)&gt;0,VLOOKUP(AI28,'1. Lists'!$BD$3:$BF$15,3,FALSE),"")</f>
        <v>5</v>
      </c>
      <c r="AI28" s="127" t="s">
        <v>340</v>
      </c>
      <c r="AJ28" s="134" t="s">
        <v>68</v>
      </c>
      <c r="AK28" s="135" t="s">
        <v>461</v>
      </c>
      <c r="AL28" s="125" t="s">
        <v>421</v>
      </c>
      <c r="AM28" s="145" t="s">
        <v>762</v>
      </c>
      <c r="AN28" s="123"/>
      <c r="AO28" s="145" t="s">
        <v>842</v>
      </c>
      <c r="AP28" s="137" t="s">
        <v>790</v>
      </c>
      <c r="AQ28" s="123"/>
      <c r="AR28" s="123"/>
      <c r="AS28" s="123"/>
      <c r="AT28" s="123"/>
      <c r="AU28" s="135" t="s">
        <v>460</v>
      </c>
      <c r="AV28" s="80" t="str">
        <f>IF(LEN(AW28)&gt;0,VLOOKUP(AW28,'1. Lists'!$BQ:$BR,2,FALSE),"")</f>
        <v>LAST</v>
      </c>
      <c r="AW28" s="120" t="s">
        <v>190</v>
      </c>
      <c r="AX28" s="80">
        <f>IF(LEN(AY28)&gt;0,VLOOKUP(AY28,'1. Lists'!$BU$3:$BW$5,3,FALSE),"")</f>
        <v>3</v>
      </c>
      <c r="AY28" s="138" t="s">
        <v>83</v>
      </c>
      <c r="AZ28" s="139">
        <v>1</v>
      </c>
      <c r="BA28" s="82">
        <f t="shared" si="0"/>
        <v>1</v>
      </c>
      <c r="BC28" s="141">
        <v>0</v>
      </c>
      <c r="BD28" s="141">
        <v>0</v>
      </c>
      <c r="BE28" s="141">
        <v>0</v>
      </c>
      <c r="BF28" s="141">
        <v>1</v>
      </c>
      <c r="BG28" s="141">
        <v>0</v>
      </c>
      <c r="BH28" s="141">
        <v>0</v>
      </c>
      <c r="BI28" s="141">
        <v>0</v>
      </c>
      <c r="BJ28" s="141">
        <v>0</v>
      </c>
      <c r="BK28" s="141">
        <v>0</v>
      </c>
      <c r="BL28" s="141">
        <v>0</v>
      </c>
      <c r="BM28" s="141">
        <v>0</v>
      </c>
      <c r="BN28" s="141">
        <v>0</v>
      </c>
      <c r="BP28" s="66">
        <f t="shared" si="1"/>
        <v>1</v>
      </c>
      <c r="BQ28" s="66">
        <f t="shared" si="2"/>
        <v>1</v>
      </c>
      <c r="BR28" s="66">
        <f t="shared" si="3"/>
        <v>1</v>
      </c>
      <c r="BU28" s="66">
        <f t="shared" si="4"/>
        <v>1</v>
      </c>
      <c r="BV28" s="66">
        <f t="shared" si="5"/>
        <v>1</v>
      </c>
      <c r="BW28" s="66">
        <f t="shared" si="6"/>
        <v>1</v>
      </c>
    </row>
    <row r="29" spans="1:75" ht="60" x14ac:dyDescent="0.25">
      <c r="A29" s="92">
        <f t="shared" si="7"/>
        <v>26</v>
      </c>
      <c r="B29" s="66">
        <f>IF(LEN(D29)&gt;0,VLOOKUP(D29,'1. Lists'!$E$3:$J$52,6,FALSE),"")</f>
        <v>4</v>
      </c>
      <c r="C29" s="66" t="str">
        <f>IF(LEN(D29)&gt;0,VLOOKUP(D29,'1. Lists'!$E$3:$F$52,2,FALSE),"")</f>
        <v>Office of the Municipal Manager</v>
      </c>
      <c r="D29" s="120" t="s">
        <v>291</v>
      </c>
      <c r="E29" s="121"/>
      <c r="F29" s="65" t="str">
        <f>IF(E29&gt;0,VLOOKUP(E29,'2. Top Layer'!$A:$C,3,FALSE),"")</f>
        <v/>
      </c>
      <c r="G29" s="65" t="str">
        <f>IF(E29&gt;0,VLOOKUP(E29,'2. Top Layer'!$A:$T,17,FALSE),"")</f>
        <v/>
      </c>
      <c r="H29" s="66">
        <f>IF(LEN(I29)&gt;0,VLOOKUP(I29,'1. Lists'!$T:$U,2,FALSE),"")</f>
        <v>101</v>
      </c>
      <c r="I29" s="122" t="s">
        <v>443</v>
      </c>
      <c r="J29" s="123"/>
      <c r="K29" s="66">
        <f>IF(LEN(L29)&gt;0,VLOOKUP(L29,'1. Lists'!$AK:$AL,2,FALSE),"")</f>
        <v>4</v>
      </c>
      <c r="L29" s="124" t="s">
        <v>154</v>
      </c>
      <c r="M29" s="70">
        <f>IF(LEN(N29)&gt;0,VLOOKUP(N29,'1. Lists'!$AN:$AQ,4,FALSE),"")</f>
        <v>4</v>
      </c>
      <c r="N29" s="125" t="s">
        <v>384</v>
      </c>
      <c r="O29" s="66">
        <f>IF(LEN(P29)&gt;0,VLOOKUP(P29,'1. Lists'!$AA:$AC,3,FALSE),"")</f>
        <v>3</v>
      </c>
      <c r="P29" s="126" t="s">
        <v>40</v>
      </c>
      <c r="Q29" s="73">
        <f>IF(LEN(R29)&gt;0,VLOOKUP(R29,'1. Lists'!$W:$Y,3,FALSE),"")</f>
        <v>1</v>
      </c>
      <c r="R29" s="127" t="s">
        <v>169</v>
      </c>
      <c r="S29" s="73">
        <f>IF(LEN(T29)&gt;0,VLOOKUP(T29,'1. Lists'!$AH:$AI,2,FALSE),"")</f>
        <v>15</v>
      </c>
      <c r="T29" s="128" t="s">
        <v>400</v>
      </c>
      <c r="U29" s="76">
        <f>IF(LEN(V29)&gt;0,VLOOKUP(V29,'1. Lists'!$AE:$AF,2,FALSE),"")</f>
        <v>2</v>
      </c>
      <c r="V29" s="129" t="s">
        <v>346</v>
      </c>
      <c r="W29" s="130"/>
      <c r="X29" s="131" t="str">
        <f>IF(W29&gt;0,VLOOKUP($W29,#REF!,4,FALSE),"")</f>
        <v/>
      </c>
      <c r="Y29" s="78" t="str">
        <f>IF(W29&gt;0,VLOOKUP($W29,#REF!,10,FALSE),"")</f>
        <v/>
      </c>
      <c r="Z29" s="132" t="s">
        <v>799</v>
      </c>
      <c r="AA29" s="132" t="s">
        <v>800</v>
      </c>
      <c r="AB29" s="66">
        <f>IF(LEN(AC29)&gt;0,VLOOKUP(AC29,'1. Lists'!$AV$3:$AX$7,3,FALSE),"")</f>
        <v>2</v>
      </c>
      <c r="AC29" s="133" t="s">
        <v>13</v>
      </c>
      <c r="AD29" s="66">
        <f>IF(LEN(AE29)&gt;0,VLOOKUP(AE29,'1. Lists'!$AZ$3:$BB$7,3,FALSE),"")</f>
        <v>1</v>
      </c>
      <c r="AE29" s="122" t="s">
        <v>15</v>
      </c>
      <c r="AF29" s="123"/>
      <c r="AG29" s="123"/>
      <c r="AH29" s="66">
        <f>IF(LEN(AI29)&gt;0,VLOOKUP(AI29,'1. Lists'!$BD$3:$BF$15,3,FALSE),"")</f>
        <v>1</v>
      </c>
      <c r="AI29" s="127" t="s">
        <v>336</v>
      </c>
      <c r="AJ29" s="134" t="s">
        <v>68</v>
      </c>
      <c r="AK29" s="135" t="s">
        <v>461</v>
      </c>
      <c r="AL29" s="125" t="s">
        <v>414</v>
      </c>
      <c r="AM29" s="136">
        <v>1</v>
      </c>
      <c r="AN29" s="123"/>
      <c r="AO29" s="136" t="s">
        <v>801</v>
      </c>
      <c r="AP29" s="137" t="s">
        <v>577</v>
      </c>
      <c r="AQ29" s="123"/>
      <c r="AR29" s="123"/>
      <c r="AS29" s="123"/>
      <c r="AT29" s="123"/>
      <c r="AU29" s="135" t="s">
        <v>460</v>
      </c>
      <c r="AV29" s="80" t="str">
        <f>IF(LEN(AW29)&gt;0,VLOOKUP(AW29,'1. Lists'!$BQ:$BR,2,FALSE),"")</f>
        <v>CO</v>
      </c>
      <c r="AW29" s="133" t="s">
        <v>12</v>
      </c>
      <c r="AX29" s="80">
        <f>IF(LEN(AY29)&gt;0,VLOOKUP(AY29,'1. Lists'!$BU$3:$BW$5,3,FALSE),"")</f>
        <v>3</v>
      </c>
      <c r="AY29" s="138" t="s">
        <v>83</v>
      </c>
      <c r="AZ29" s="139">
        <v>1</v>
      </c>
      <c r="BA29" s="82">
        <f t="shared" si="0"/>
        <v>1</v>
      </c>
      <c r="BC29" s="141">
        <v>0</v>
      </c>
      <c r="BD29" s="141">
        <v>0</v>
      </c>
      <c r="BE29" s="141">
        <v>0</v>
      </c>
      <c r="BF29" s="141">
        <v>0</v>
      </c>
      <c r="BG29" s="141">
        <v>0</v>
      </c>
      <c r="BH29" s="141">
        <v>0</v>
      </c>
      <c r="BI29" s="141">
        <v>1</v>
      </c>
      <c r="BJ29" s="141">
        <v>0</v>
      </c>
      <c r="BK29" s="141">
        <v>0</v>
      </c>
      <c r="BL29" s="141">
        <v>0</v>
      </c>
      <c r="BM29" s="141">
        <v>0</v>
      </c>
      <c r="BN29" s="141">
        <v>0</v>
      </c>
      <c r="BP29" s="66">
        <f t="shared" si="1"/>
        <v>1</v>
      </c>
      <c r="BQ29" s="66">
        <f t="shared" si="2"/>
        <v>1</v>
      </c>
      <c r="BR29" s="66">
        <f t="shared" si="3"/>
        <v>1</v>
      </c>
      <c r="BS29" s="66">
        <v>0</v>
      </c>
      <c r="BU29" s="66">
        <f t="shared" si="4"/>
        <v>1</v>
      </c>
      <c r="BV29" s="66">
        <f t="shared" si="5"/>
        <v>1</v>
      </c>
      <c r="BW29" s="66">
        <f t="shared" si="6"/>
        <v>1</v>
      </c>
    </row>
    <row r="30" spans="1:75" ht="60" x14ac:dyDescent="0.25">
      <c r="A30" s="92">
        <f t="shared" si="7"/>
        <v>27</v>
      </c>
      <c r="B30" s="66">
        <f>IF(LEN(D30)&gt;0,VLOOKUP(D30,'1. Lists'!$E$3:$J$52,6,FALSE),"")</f>
        <v>4</v>
      </c>
      <c r="C30" s="66" t="str">
        <f>IF(LEN(D30)&gt;0,VLOOKUP(D30,'1. Lists'!$E$3:$F$52,2,FALSE),"")</f>
        <v>Office of the Municipal Manager</v>
      </c>
      <c r="D30" s="120" t="s">
        <v>291</v>
      </c>
      <c r="E30" s="121"/>
      <c r="F30" s="65" t="str">
        <f>IF(E30&gt;0,VLOOKUP(E30,'2. Top Layer'!$A:$C,3,FALSE),"")</f>
        <v/>
      </c>
      <c r="G30" s="65" t="str">
        <f>IF(E30&gt;0,VLOOKUP(E30,'2. Top Layer'!$A:$T,17,FALSE),"")</f>
        <v/>
      </c>
      <c r="H30" s="66">
        <f>IF(LEN(I30)&gt;0,VLOOKUP(I30,'1. Lists'!$T:$U,2,FALSE),"")</f>
        <v>101</v>
      </c>
      <c r="I30" s="122" t="s">
        <v>443</v>
      </c>
      <c r="J30" s="123"/>
      <c r="K30" s="66">
        <f>IF(LEN(L30)&gt;0,VLOOKUP(L30,'1. Lists'!$AK:$AL,2,FALSE),"")</f>
        <v>4</v>
      </c>
      <c r="L30" s="124" t="s">
        <v>154</v>
      </c>
      <c r="M30" s="70">
        <f>IF(LEN(N30)&gt;0,VLOOKUP(N30,'1. Lists'!$AN:$AQ,4,FALSE),"")</f>
        <v>4</v>
      </c>
      <c r="N30" s="125" t="s">
        <v>384</v>
      </c>
      <c r="O30" s="66">
        <f>IF(LEN(P30)&gt;0,VLOOKUP(P30,'1. Lists'!$AA:$AC,3,FALSE),"")</f>
        <v>3</v>
      </c>
      <c r="P30" s="126" t="s">
        <v>40</v>
      </c>
      <c r="Q30" s="73">
        <f>IF(LEN(R30)&gt;0,VLOOKUP(R30,'1. Lists'!$W:$Y,3,FALSE),"")</f>
        <v>1</v>
      </c>
      <c r="R30" s="127" t="s">
        <v>169</v>
      </c>
      <c r="S30" s="73">
        <f>IF(LEN(T30)&gt;0,VLOOKUP(T30,'1. Lists'!$AH:$AI,2,FALSE),"")</f>
        <v>15</v>
      </c>
      <c r="T30" s="128" t="s">
        <v>400</v>
      </c>
      <c r="U30" s="76">
        <f>IF(LEN(V30)&gt;0,VLOOKUP(V30,'1. Lists'!$AE:$AF,2,FALSE),"")</f>
        <v>2</v>
      </c>
      <c r="V30" s="129" t="s">
        <v>346</v>
      </c>
      <c r="W30" s="130"/>
      <c r="X30" s="131" t="str">
        <f>IF(W30&gt;0,VLOOKUP($W30,#REF!,4,FALSE),"")</f>
        <v/>
      </c>
      <c r="Y30" s="78" t="str">
        <f>IF(W30&gt;0,VLOOKUP($W30,#REF!,10,FALSE),"")</f>
        <v/>
      </c>
      <c r="Z30" s="132" t="s">
        <v>802</v>
      </c>
      <c r="AA30" s="132" t="s">
        <v>472</v>
      </c>
      <c r="AB30" s="66">
        <f>IF(LEN(AC30)&gt;0,VLOOKUP(AC30,'1. Lists'!$AV$3:$AX$7,3,FALSE),"")</f>
        <v>4</v>
      </c>
      <c r="AC30" s="133" t="s">
        <v>52</v>
      </c>
      <c r="AD30" s="66">
        <f>IF(LEN(AE30)&gt;0,VLOOKUP(AE30,'1. Lists'!$AZ$3:$BB$7,3,FALSE),"")</f>
        <v>1</v>
      </c>
      <c r="AE30" s="122" t="s">
        <v>15</v>
      </c>
      <c r="AF30" s="123"/>
      <c r="AG30" s="123"/>
      <c r="AH30" s="66">
        <f>IF(LEN(AI30)&gt;0,VLOOKUP(AI30,'1. Lists'!$BD$3:$BF$15,3,FALSE),"")</f>
        <v>1</v>
      </c>
      <c r="AI30" s="127" t="s">
        <v>336</v>
      </c>
      <c r="AJ30" s="134" t="s">
        <v>68</v>
      </c>
      <c r="AK30" s="135" t="s">
        <v>461</v>
      </c>
      <c r="AL30" s="125" t="s">
        <v>414</v>
      </c>
      <c r="AM30" s="136">
        <v>5</v>
      </c>
      <c r="AN30" s="123"/>
      <c r="AO30" s="136" t="s">
        <v>578</v>
      </c>
      <c r="AP30" s="137" t="s">
        <v>803</v>
      </c>
      <c r="AQ30" s="123"/>
      <c r="AR30" s="123"/>
      <c r="AS30" s="123"/>
      <c r="AT30" s="123"/>
      <c r="AU30" s="135" t="s">
        <v>460</v>
      </c>
      <c r="AV30" s="80" t="str">
        <f>IF(LEN(AW30)&gt;0,VLOOKUP(AW30,'1. Lists'!$BQ:$BR,2,FALSE),"")</f>
        <v>ACC</v>
      </c>
      <c r="AW30" s="133" t="s">
        <v>14</v>
      </c>
      <c r="AX30" s="80">
        <f>IF(LEN(AY30)&gt;0,VLOOKUP(AY30,'1. Lists'!$BU$3:$BW$5,3,FALSE),"")</f>
        <v>3</v>
      </c>
      <c r="AY30" s="138" t="s">
        <v>83</v>
      </c>
      <c r="AZ30" s="139">
        <v>5</v>
      </c>
      <c r="BA30" s="82">
        <f t="shared" si="0"/>
        <v>5</v>
      </c>
      <c r="BC30" s="141">
        <v>0</v>
      </c>
      <c r="BD30" s="141">
        <v>0</v>
      </c>
      <c r="BE30" s="141">
        <v>0</v>
      </c>
      <c r="BF30" s="141">
        <v>0</v>
      </c>
      <c r="BG30" s="141">
        <v>0</v>
      </c>
      <c r="BH30" s="141">
        <v>3</v>
      </c>
      <c r="BI30" s="141">
        <v>0</v>
      </c>
      <c r="BJ30" s="141">
        <v>0</v>
      </c>
      <c r="BK30" s="141">
        <v>0</v>
      </c>
      <c r="BL30" s="141">
        <v>0</v>
      </c>
      <c r="BM30" s="141">
        <v>0</v>
      </c>
      <c r="BN30" s="141">
        <v>2</v>
      </c>
      <c r="BP30" s="66">
        <f t="shared" si="1"/>
        <v>3</v>
      </c>
      <c r="BQ30" s="66">
        <f t="shared" si="2"/>
        <v>5</v>
      </c>
      <c r="BR30" s="66">
        <f t="shared" si="3"/>
        <v>2.5</v>
      </c>
      <c r="BS30" s="66">
        <v>0</v>
      </c>
      <c r="BU30" s="66">
        <f t="shared" si="4"/>
        <v>2.5</v>
      </c>
      <c r="BV30" s="66">
        <f t="shared" si="5"/>
        <v>2</v>
      </c>
      <c r="BW30" s="66">
        <f t="shared" si="6"/>
        <v>2</v>
      </c>
    </row>
    <row r="31" spans="1:75" ht="60" x14ac:dyDescent="0.25">
      <c r="A31" s="92">
        <f t="shared" si="7"/>
        <v>28</v>
      </c>
      <c r="B31" s="66">
        <f>IF(LEN(D31)&gt;0,VLOOKUP(D31,'1. Lists'!$E$3:$J$52,6,FALSE),"")</f>
        <v>4</v>
      </c>
      <c r="C31" s="66" t="str">
        <f>IF(LEN(D31)&gt;0,VLOOKUP(D31,'1. Lists'!$E$3:$F$52,2,FALSE),"")</f>
        <v>Office of the Municipal Manager</v>
      </c>
      <c r="D31" s="120" t="s">
        <v>291</v>
      </c>
      <c r="E31" s="121"/>
      <c r="F31" s="65" t="str">
        <f>IF(E31&gt;0,VLOOKUP(E31,'2. Top Layer'!$A:$C,3,FALSE),"")</f>
        <v/>
      </c>
      <c r="G31" s="65" t="str">
        <f>IF(E31&gt;0,VLOOKUP(E31,'2. Top Layer'!$A:$T,17,FALSE),"")</f>
        <v/>
      </c>
      <c r="H31" s="66">
        <f>IF(LEN(I31)&gt;0,VLOOKUP(I31,'1. Lists'!$T:$U,2,FALSE),"")</f>
        <v>101</v>
      </c>
      <c r="I31" s="122" t="s">
        <v>443</v>
      </c>
      <c r="J31" s="123"/>
      <c r="K31" s="66">
        <f>IF(LEN(L31)&gt;0,VLOOKUP(L31,'1. Lists'!$AK:$AL,2,FALSE),"")</f>
        <v>9</v>
      </c>
      <c r="L31" s="124" t="s">
        <v>159</v>
      </c>
      <c r="M31" s="70">
        <f>IF(LEN(N31)&gt;0,VLOOKUP(N31,'1. Lists'!$AN:$AQ,4,FALSE),"")</f>
        <v>2</v>
      </c>
      <c r="N31" s="125" t="s">
        <v>382</v>
      </c>
      <c r="O31" s="66">
        <f>IF(LEN(P31)&gt;0,VLOOKUP(P31,'1. Lists'!$AA:$AC,3,FALSE),"")</f>
        <v>5</v>
      </c>
      <c r="P31" s="126" t="s">
        <v>42</v>
      </c>
      <c r="Q31" s="73">
        <f>IF(LEN(R31)&gt;0,VLOOKUP(R31,'1. Lists'!$W:$Y,3,FALSE),"")</f>
        <v>1</v>
      </c>
      <c r="R31" s="127" t="s">
        <v>169</v>
      </c>
      <c r="S31" s="73">
        <f>IF(LEN(T31)&gt;0,VLOOKUP(T31,'1. Lists'!$AH:$AI,2,FALSE),"")</f>
        <v>11</v>
      </c>
      <c r="T31" s="128" t="s">
        <v>396</v>
      </c>
      <c r="U31" s="76">
        <f>IF(LEN(V31)&gt;0,VLOOKUP(V31,'1. Lists'!$AE:$AF,2,FALSE),"")</f>
        <v>11</v>
      </c>
      <c r="V31" s="129" t="s">
        <v>355</v>
      </c>
      <c r="W31" s="130"/>
      <c r="X31" s="131" t="str">
        <f>IF(W31&gt;0,VLOOKUP($W31,#REF!,4,FALSE),"")</f>
        <v/>
      </c>
      <c r="Y31" s="78" t="str">
        <f>IF(W31&gt;0,VLOOKUP($W31,#REF!,10,FALSE),"")</f>
        <v/>
      </c>
      <c r="Z31" s="132" t="s">
        <v>804</v>
      </c>
      <c r="AA31" s="132" t="s">
        <v>473</v>
      </c>
      <c r="AB31" s="66">
        <f>IF(LEN(AC31)&gt;0,VLOOKUP(AC31,'1. Lists'!$AV$3:$AX$7,3,FALSE),"")</f>
        <v>4</v>
      </c>
      <c r="AC31" s="133" t="s">
        <v>52</v>
      </c>
      <c r="AD31" s="66">
        <f>IF(LEN(AE31)&gt;0,VLOOKUP(AE31,'1. Lists'!$AZ$3:$BB$7,3,FALSE),"")</f>
        <v>2</v>
      </c>
      <c r="AE31" s="122" t="s">
        <v>9</v>
      </c>
      <c r="AF31" s="123"/>
      <c r="AG31" s="123"/>
      <c r="AH31" s="66">
        <f>IF(LEN(AI31)&gt;0,VLOOKUP(AI31,'1. Lists'!$BD$3:$BF$15,3,FALSE),"")</f>
        <v>1</v>
      </c>
      <c r="AI31" s="127" t="s">
        <v>336</v>
      </c>
      <c r="AJ31" s="134" t="s">
        <v>68</v>
      </c>
      <c r="AK31" s="135" t="s">
        <v>461</v>
      </c>
      <c r="AL31" s="125" t="s">
        <v>414</v>
      </c>
      <c r="AM31" s="136">
        <v>12</v>
      </c>
      <c r="AN31" s="123"/>
      <c r="AO31" s="136" t="s">
        <v>805</v>
      </c>
      <c r="AP31" s="137" t="s">
        <v>579</v>
      </c>
      <c r="AQ31" s="123"/>
      <c r="AR31" s="123"/>
      <c r="AS31" s="123"/>
      <c r="AT31" s="123"/>
      <c r="AU31" s="135" t="s">
        <v>460</v>
      </c>
      <c r="AV31" s="80" t="str">
        <f>IF(LEN(AW31)&gt;0,VLOOKUP(AW31,'1. Lists'!$BQ:$BR,2,FALSE),"")</f>
        <v>ACC</v>
      </c>
      <c r="AW31" s="133" t="s">
        <v>14</v>
      </c>
      <c r="AX31" s="80">
        <f>IF(LEN(AY31)&gt;0,VLOOKUP(AY31,'1. Lists'!$BU$3:$BW$5,3,FALSE),"")</f>
        <v>3</v>
      </c>
      <c r="AY31" s="138" t="s">
        <v>83</v>
      </c>
      <c r="AZ31" s="139">
        <v>12</v>
      </c>
      <c r="BA31" s="82">
        <f t="shared" si="0"/>
        <v>12</v>
      </c>
      <c r="BC31" s="141">
        <v>1</v>
      </c>
      <c r="BD31" s="141">
        <v>1</v>
      </c>
      <c r="BE31" s="141">
        <v>1</v>
      </c>
      <c r="BF31" s="141">
        <v>1</v>
      </c>
      <c r="BG31" s="141">
        <v>1</v>
      </c>
      <c r="BH31" s="141">
        <v>1</v>
      </c>
      <c r="BI31" s="141">
        <v>1</v>
      </c>
      <c r="BJ31" s="141">
        <v>1</v>
      </c>
      <c r="BK31" s="141">
        <v>1</v>
      </c>
      <c r="BL31" s="141">
        <v>1</v>
      </c>
      <c r="BM31" s="141">
        <v>1</v>
      </c>
      <c r="BN31" s="141">
        <v>1</v>
      </c>
      <c r="BP31" s="66">
        <f t="shared" si="1"/>
        <v>1</v>
      </c>
      <c r="BQ31" s="66">
        <f t="shared" si="2"/>
        <v>12</v>
      </c>
      <c r="BR31" s="66">
        <f t="shared" si="3"/>
        <v>1</v>
      </c>
      <c r="BS31" s="66">
        <v>0</v>
      </c>
      <c r="BU31" s="66">
        <f t="shared" si="4"/>
        <v>1</v>
      </c>
      <c r="BV31" s="66">
        <f t="shared" si="5"/>
        <v>1</v>
      </c>
      <c r="BW31" s="66">
        <f t="shared" si="6"/>
        <v>1</v>
      </c>
    </row>
    <row r="32" spans="1:75" ht="60" x14ac:dyDescent="0.25">
      <c r="A32" s="92">
        <f t="shared" si="7"/>
        <v>29</v>
      </c>
      <c r="B32" s="66">
        <f>IF(LEN(D32)&gt;0,VLOOKUP(D32,'1. Lists'!$E$3:$J$52,6,FALSE),"")</f>
        <v>4</v>
      </c>
      <c r="C32" s="66" t="str">
        <f>IF(LEN(D32)&gt;0,VLOOKUP(D32,'1. Lists'!$E$3:$F$52,2,FALSE),"")</f>
        <v>Office of the Municipal Manager</v>
      </c>
      <c r="D32" s="120" t="s">
        <v>291</v>
      </c>
      <c r="E32" s="121"/>
      <c r="F32" s="65" t="str">
        <f>IF(E32&gt;0,VLOOKUP(E32,'2. Top Layer'!$A:$C,3,FALSE),"")</f>
        <v/>
      </c>
      <c r="G32" s="65" t="str">
        <f>IF(E32&gt;0,VLOOKUP(E32,'2. Top Layer'!$A:$T,17,FALSE),"")</f>
        <v/>
      </c>
      <c r="H32" s="66">
        <f>IF(LEN(I32)&gt;0,VLOOKUP(I32,'1. Lists'!$T:$U,2,FALSE),"")</f>
        <v>101</v>
      </c>
      <c r="I32" s="122" t="s">
        <v>443</v>
      </c>
      <c r="J32" s="123"/>
      <c r="K32" s="66">
        <f>IF(LEN(L32)&gt;0,VLOOKUP(L32,'1. Lists'!$AK:$AL,2,FALSE),"")</f>
        <v>9</v>
      </c>
      <c r="L32" s="124" t="s">
        <v>159</v>
      </c>
      <c r="M32" s="70">
        <f>IF(LEN(N32)&gt;0,VLOOKUP(N32,'1. Lists'!$AN:$AQ,4,FALSE),"")</f>
        <v>2</v>
      </c>
      <c r="N32" s="125" t="s">
        <v>382</v>
      </c>
      <c r="O32" s="66">
        <f>IF(LEN(P32)&gt;0,VLOOKUP(P32,'1. Lists'!$AA:$AC,3,FALSE),"")</f>
        <v>5</v>
      </c>
      <c r="P32" s="126" t="s">
        <v>42</v>
      </c>
      <c r="Q32" s="73">
        <f>IF(LEN(R32)&gt;0,VLOOKUP(R32,'1. Lists'!$W:$Y,3,FALSE),"")</f>
        <v>1</v>
      </c>
      <c r="R32" s="127" t="s">
        <v>169</v>
      </c>
      <c r="S32" s="73">
        <f>IF(LEN(T32)&gt;0,VLOOKUP(T32,'1. Lists'!$AH:$AI,2,FALSE),"")</f>
        <v>10</v>
      </c>
      <c r="T32" s="128" t="s">
        <v>395</v>
      </c>
      <c r="U32" s="76">
        <f>IF(LEN(V32)&gt;0,VLOOKUP(V32,'1. Lists'!$AE:$AF,2,FALSE),"")</f>
        <v>11</v>
      </c>
      <c r="V32" s="129" t="s">
        <v>355</v>
      </c>
      <c r="W32" s="130"/>
      <c r="X32" s="131" t="str">
        <f>IF(W32&gt;0,VLOOKUP($W32,#REF!,4,FALSE),"")</f>
        <v/>
      </c>
      <c r="Y32" s="78" t="str">
        <f>IF(W32&gt;0,VLOOKUP($W32,#REF!,10,FALSE),"")</f>
        <v/>
      </c>
      <c r="Z32" s="132" t="s">
        <v>474</v>
      </c>
      <c r="AA32" s="132" t="s">
        <v>475</v>
      </c>
      <c r="AB32" s="66">
        <f>IF(LEN(AC32)&gt;0,VLOOKUP(AC32,'1. Lists'!$AV$3:$AX$7,3,FALSE),"")</f>
        <v>4</v>
      </c>
      <c r="AC32" s="133" t="s">
        <v>52</v>
      </c>
      <c r="AD32" s="66">
        <f>IF(LEN(AE32)&gt;0,VLOOKUP(AE32,'1. Lists'!$AZ$3:$BB$7,3,FALSE),"")</f>
        <v>2</v>
      </c>
      <c r="AE32" s="122" t="s">
        <v>9</v>
      </c>
      <c r="AF32" s="123"/>
      <c r="AG32" s="123"/>
      <c r="AH32" s="66">
        <f>IF(LEN(AI32)&gt;0,VLOOKUP(AI32,'1. Lists'!$BD$3:$BF$15,3,FALSE),"")</f>
        <v>1</v>
      </c>
      <c r="AI32" s="127" t="s">
        <v>336</v>
      </c>
      <c r="AJ32" s="134" t="s">
        <v>68</v>
      </c>
      <c r="AK32" s="135" t="s">
        <v>461</v>
      </c>
      <c r="AL32" s="125" t="s">
        <v>414</v>
      </c>
      <c r="AM32" s="136">
        <v>4</v>
      </c>
      <c r="AN32" s="123"/>
      <c r="AO32" s="136" t="s">
        <v>580</v>
      </c>
      <c r="AP32" s="137" t="s">
        <v>581</v>
      </c>
      <c r="AQ32" s="123"/>
      <c r="AR32" s="123"/>
      <c r="AS32" s="123"/>
      <c r="AT32" s="123"/>
      <c r="AU32" s="135" t="s">
        <v>460</v>
      </c>
      <c r="AV32" s="80" t="str">
        <f>IF(LEN(AW32)&gt;0,VLOOKUP(AW32,'1. Lists'!$BQ:$BR,2,FALSE),"")</f>
        <v>ACC</v>
      </c>
      <c r="AW32" s="133" t="s">
        <v>14</v>
      </c>
      <c r="AX32" s="80">
        <f>IF(LEN(AY32)&gt;0,VLOOKUP(AY32,'1. Lists'!$BU$3:$BW$5,3,FALSE),"")</f>
        <v>3</v>
      </c>
      <c r="AY32" s="138" t="s">
        <v>83</v>
      </c>
      <c r="AZ32" s="139">
        <v>4</v>
      </c>
      <c r="BA32" s="82">
        <f t="shared" si="0"/>
        <v>4</v>
      </c>
      <c r="BC32" s="141">
        <v>0</v>
      </c>
      <c r="BD32" s="141">
        <v>0</v>
      </c>
      <c r="BE32" s="141">
        <v>1</v>
      </c>
      <c r="BF32" s="141">
        <v>0</v>
      </c>
      <c r="BG32" s="141">
        <v>0</v>
      </c>
      <c r="BH32" s="141">
        <v>1</v>
      </c>
      <c r="BI32" s="141">
        <v>0</v>
      </c>
      <c r="BJ32" s="141">
        <v>0</v>
      </c>
      <c r="BK32" s="141">
        <v>1</v>
      </c>
      <c r="BL32" s="141">
        <v>0</v>
      </c>
      <c r="BM32" s="141">
        <v>0</v>
      </c>
      <c r="BN32" s="141">
        <v>1</v>
      </c>
      <c r="BP32" s="66">
        <f t="shared" si="1"/>
        <v>1</v>
      </c>
      <c r="BQ32" s="66">
        <f t="shared" si="2"/>
        <v>4</v>
      </c>
      <c r="BR32" s="66">
        <f t="shared" si="3"/>
        <v>1</v>
      </c>
      <c r="BS32" s="66">
        <v>0</v>
      </c>
      <c r="BU32" s="66">
        <f t="shared" si="4"/>
        <v>1</v>
      </c>
      <c r="BV32" s="66">
        <f t="shared" si="5"/>
        <v>1</v>
      </c>
      <c r="BW32" s="66">
        <f t="shared" si="6"/>
        <v>1</v>
      </c>
    </row>
    <row r="33" spans="1:75" ht="60" x14ac:dyDescent="0.25">
      <c r="A33" s="92">
        <f t="shared" si="7"/>
        <v>30</v>
      </c>
      <c r="B33" s="66">
        <f>IF(LEN(D33)&gt;0,VLOOKUP(D33,'1. Lists'!$E$3:$J$52,6,FALSE),"")</f>
        <v>4</v>
      </c>
      <c r="C33" s="66" t="str">
        <f>IF(LEN(D33)&gt;0,VLOOKUP(D33,'1. Lists'!$E$3:$F$52,2,FALSE),"")</f>
        <v>Office of the Municipal Manager</v>
      </c>
      <c r="D33" s="120" t="s">
        <v>291</v>
      </c>
      <c r="E33" s="121"/>
      <c r="F33" s="65" t="str">
        <f>IF(E33&gt;0,VLOOKUP(E33,'2. Top Layer'!$A:$C,3,FALSE),"")</f>
        <v/>
      </c>
      <c r="G33" s="65" t="str">
        <f>IF(E33&gt;0,VLOOKUP(E33,'2. Top Layer'!$A:$T,17,FALSE),"")</f>
        <v/>
      </c>
      <c r="H33" s="66">
        <f>IF(LEN(I33)&gt;0,VLOOKUP(I33,'1. Lists'!$T:$U,2,FALSE),"")</f>
        <v>101</v>
      </c>
      <c r="I33" s="122" t="s">
        <v>443</v>
      </c>
      <c r="J33" s="123"/>
      <c r="K33" s="66">
        <f>IF(LEN(L33)&gt;0,VLOOKUP(L33,'1. Lists'!$AK:$AL,2,FALSE),"")</f>
        <v>9</v>
      </c>
      <c r="L33" s="124" t="s">
        <v>159</v>
      </c>
      <c r="M33" s="70">
        <f>IF(LEN(N33)&gt;0,VLOOKUP(N33,'1. Lists'!$AN:$AQ,4,FALSE),"")</f>
        <v>2</v>
      </c>
      <c r="N33" s="125" t="s">
        <v>382</v>
      </c>
      <c r="O33" s="66">
        <f>IF(LEN(P33)&gt;0,VLOOKUP(P33,'1. Lists'!$AA:$AC,3,FALSE),"")</f>
        <v>5</v>
      </c>
      <c r="P33" s="126" t="s">
        <v>42</v>
      </c>
      <c r="Q33" s="73">
        <f>IF(LEN(R33)&gt;0,VLOOKUP(R33,'1. Lists'!$W:$Y,3,FALSE),"")</f>
        <v>1</v>
      </c>
      <c r="R33" s="127" t="s">
        <v>169</v>
      </c>
      <c r="S33" s="73">
        <f>IF(LEN(T33)&gt;0,VLOOKUP(T33,'1. Lists'!$AH:$AI,2,FALSE),"")</f>
        <v>10</v>
      </c>
      <c r="T33" s="128" t="s">
        <v>395</v>
      </c>
      <c r="U33" s="76">
        <f>IF(LEN(V33)&gt;0,VLOOKUP(V33,'1. Lists'!$AE:$AF,2,FALSE),"")</f>
        <v>11</v>
      </c>
      <c r="V33" s="129" t="s">
        <v>355</v>
      </c>
      <c r="W33" s="130"/>
      <c r="X33" s="131"/>
      <c r="Z33" s="150" t="s">
        <v>806</v>
      </c>
      <c r="AA33" s="150" t="s">
        <v>807</v>
      </c>
      <c r="AB33" s="66">
        <f>IF(LEN(AC33)&gt;0,VLOOKUP(AC33,'1. Lists'!$AV$3:$AX$7,3,FALSE),"")</f>
        <v>2</v>
      </c>
      <c r="AC33" s="133" t="s">
        <v>13</v>
      </c>
      <c r="AD33" s="66">
        <f>IF(LEN(AE33)&gt;0,VLOOKUP(AE33,'1. Lists'!$AZ$3:$BB$7,3,FALSE),"")</f>
        <v>1</v>
      </c>
      <c r="AE33" s="122" t="s">
        <v>15</v>
      </c>
      <c r="AF33" s="123"/>
      <c r="AG33" s="123"/>
      <c r="AH33" s="66">
        <f>IF(LEN(AI33)&gt;0,VLOOKUP(AI33,'1. Lists'!$BD$3:$BF$15,3,FALSE),"")</f>
        <v>1</v>
      </c>
      <c r="AI33" s="127" t="s">
        <v>336</v>
      </c>
      <c r="AJ33" s="134" t="s">
        <v>68</v>
      </c>
      <c r="AK33" s="135" t="s">
        <v>461</v>
      </c>
      <c r="AL33" s="125" t="s">
        <v>414</v>
      </c>
      <c r="AM33" s="136" t="s">
        <v>762</v>
      </c>
      <c r="AN33" s="123"/>
      <c r="AO33" s="136" t="s">
        <v>808</v>
      </c>
      <c r="AP33" s="137" t="s">
        <v>809</v>
      </c>
      <c r="AQ33" s="123"/>
      <c r="AR33" s="123"/>
      <c r="AS33" s="123"/>
      <c r="AT33" s="123"/>
      <c r="AU33" s="135" t="s">
        <v>460</v>
      </c>
      <c r="AV33" s="80" t="str">
        <f>IF(LEN(AW33)&gt;0,VLOOKUP(AW33,'1. Lists'!$BQ:$BR,2,FALSE),"")</f>
        <v>STD</v>
      </c>
      <c r="AW33" s="133" t="s">
        <v>78</v>
      </c>
      <c r="AX33" s="80">
        <f>IF(LEN(AY33)&gt;0,VLOOKUP(AY33,'1. Lists'!$BU$3:$BW$5,3,FALSE),"")</f>
        <v>2</v>
      </c>
      <c r="AY33" s="138" t="s">
        <v>82</v>
      </c>
      <c r="AZ33" s="139">
        <v>100</v>
      </c>
      <c r="BA33" s="82">
        <f t="shared" si="0"/>
        <v>100</v>
      </c>
      <c r="BC33" s="141">
        <v>100</v>
      </c>
      <c r="BD33" s="141">
        <v>100</v>
      </c>
      <c r="BE33" s="141">
        <v>100</v>
      </c>
      <c r="BF33" s="141">
        <v>100</v>
      </c>
      <c r="BG33" s="141">
        <v>100</v>
      </c>
      <c r="BH33" s="141">
        <v>100</v>
      </c>
      <c r="BI33" s="141">
        <v>100</v>
      </c>
      <c r="BJ33" s="141">
        <v>100</v>
      </c>
      <c r="BK33" s="141">
        <v>100</v>
      </c>
      <c r="BL33" s="141">
        <v>100</v>
      </c>
      <c r="BM33" s="141">
        <v>100</v>
      </c>
      <c r="BN33" s="141">
        <v>100</v>
      </c>
    </row>
    <row r="34" spans="1:75" ht="60" x14ac:dyDescent="0.25">
      <c r="A34" s="92">
        <f t="shared" si="7"/>
        <v>31</v>
      </c>
      <c r="B34" s="66">
        <f>IF(LEN(D34)&gt;0,VLOOKUP(D34,'1. Lists'!$E$3:$J$52,6,FALSE),"")</f>
        <v>4</v>
      </c>
      <c r="C34" s="66" t="str">
        <f>IF(LEN(D34)&gt;0,VLOOKUP(D34,'1. Lists'!$E$3:$F$52,2,FALSE),"")</f>
        <v>Office of the Municipal Manager</v>
      </c>
      <c r="D34" s="120" t="s">
        <v>291</v>
      </c>
      <c r="E34" s="121"/>
      <c r="F34" s="65" t="str">
        <f>IF(E34&gt;0,VLOOKUP(E34,'2. Top Layer'!$A:$C,3,FALSE),"")</f>
        <v/>
      </c>
      <c r="G34" s="65" t="str">
        <f>IF(E34&gt;0,VLOOKUP(E34,'2. Top Layer'!$A:$T,17,FALSE),"")</f>
        <v/>
      </c>
      <c r="H34" s="66">
        <f>IF(LEN(I34)&gt;0,VLOOKUP(I34,'1. Lists'!$T:$U,2,FALSE),"")</f>
        <v>101</v>
      </c>
      <c r="I34" s="122" t="s">
        <v>443</v>
      </c>
      <c r="J34" s="123"/>
      <c r="K34" s="66">
        <f>IF(LEN(L34)&gt;0,VLOOKUP(L34,'1. Lists'!$AK:$AL,2,FALSE),"")</f>
        <v>9</v>
      </c>
      <c r="L34" s="124" t="s">
        <v>159</v>
      </c>
      <c r="M34" s="70">
        <f>IF(LEN(N34)&gt;0,VLOOKUP(N34,'1. Lists'!$AN:$AQ,4,FALSE),"")</f>
        <v>2</v>
      </c>
      <c r="N34" s="125" t="s">
        <v>382</v>
      </c>
      <c r="O34" s="66">
        <f>IF(LEN(P34)&gt;0,VLOOKUP(P34,'1. Lists'!$AA:$AC,3,FALSE),"")</f>
        <v>5</v>
      </c>
      <c r="P34" s="126" t="s">
        <v>42</v>
      </c>
      <c r="Q34" s="73">
        <f>IF(LEN(R34)&gt;0,VLOOKUP(R34,'1. Lists'!$W:$Y,3,FALSE),"")</f>
        <v>1</v>
      </c>
      <c r="R34" s="127" t="s">
        <v>169</v>
      </c>
      <c r="S34" s="73">
        <f>IF(LEN(T34)&gt;0,VLOOKUP(T34,'1. Lists'!$AH:$AI,2,FALSE),"")</f>
        <v>10</v>
      </c>
      <c r="T34" s="128" t="s">
        <v>395</v>
      </c>
      <c r="U34" s="76">
        <f>IF(LEN(V34)&gt;0,VLOOKUP(V34,'1. Lists'!$AE:$AF,2,FALSE),"")</f>
        <v>11</v>
      </c>
      <c r="V34" s="129" t="s">
        <v>355</v>
      </c>
      <c r="W34" s="130"/>
      <c r="X34" s="131"/>
      <c r="Z34" s="150" t="s">
        <v>810</v>
      </c>
      <c r="AA34" s="150" t="s">
        <v>811</v>
      </c>
      <c r="AB34" s="66">
        <f>IF(LEN(AC34)&gt;0,VLOOKUP(AC34,'1. Lists'!$AV$3:$AX$7,3,FALSE),"")</f>
        <v>2</v>
      </c>
      <c r="AC34" s="133" t="s">
        <v>13</v>
      </c>
      <c r="AD34" s="66">
        <f>IF(LEN(AE34)&gt;0,VLOOKUP(AE34,'1. Lists'!$AZ$3:$BB$7,3,FALSE),"")</f>
        <v>1</v>
      </c>
      <c r="AE34" s="122" t="s">
        <v>15</v>
      </c>
      <c r="AF34" s="123"/>
      <c r="AG34" s="123"/>
      <c r="AH34" s="66">
        <f>IF(LEN(AI34)&gt;0,VLOOKUP(AI34,'1. Lists'!$BD$3:$BF$15,3,FALSE),"")</f>
        <v>1</v>
      </c>
      <c r="AI34" s="127" t="s">
        <v>336</v>
      </c>
      <c r="AJ34" s="134" t="s">
        <v>68</v>
      </c>
      <c r="AK34" s="135" t="s">
        <v>461</v>
      </c>
      <c r="AL34" s="125" t="s">
        <v>414</v>
      </c>
      <c r="AM34" s="136" t="s">
        <v>762</v>
      </c>
      <c r="AN34" s="123"/>
      <c r="AO34" s="136" t="s">
        <v>812</v>
      </c>
      <c r="AP34" s="137" t="s">
        <v>790</v>
      </c>
      <c r="AQ34" s="123"/>
      <c r="AR34" s="123"/>
      <c r="AS34" s="123"/>
      <c r="AT34" s="123"/>
      <c r="AU34" s="135" t="s">
        <v>460</v>
      </c>
      <c r="AV34" s="80" t="str">
        <f>IF(LEN(AW34)&gt;0,VLOOKUP(AW34,'1. Lists'!$BQ:$BR,2,FALSE),"")</f>
        <v>ACC</v>
      </c>
      <c r="AW34" s="120" t="s">
        <v>14</v>
      </c>
      <c r="AX34" s="80">
        <f>IF(LEN(AY34)&gt;0,VLOOKUP(AY34,'1. Lists'!$BU$3:$BW$5,3,FALSE),"")</f>
        <v>3</v>
      </c>
      <c r="AY34" s="138" t="s">
        <v>83</v>
      </c>
      <c r="AZ34" s="139">
        <v>12</v>
      </c>
      <c r="BA34" s="82">
        <f t="shared" si="0"/>
        <v>12</v>
      </c>
      <c r="BC34" s="141">
        <v>1</v>
      </c>
      <c r="BD34" s="141">
        <v>1</v>
      </c>
      <c r="BE34" s="141">
        <v>1</v>
      </c>
      <c r="BF34" s="141">
        <v>1</v>
      </c>
      <c r="BG34" s="141">
        <v>1</v>
      </c>
      <c r="BH34" s="141">
        <v>1</v>
      </c>
      <c r="BI34" s="141">
        <v>1</v>
      </c>
      <c r="BJ34" s="141">
        <v>1</v>
      </c>
      <c r="BK34" s="141">
        <v>1</v>
      </c>
      <c r="BL34" s="141">
        <v>1</v>
      </c>
      <c r="BM34" s="141">
        <v>1</v>
      </c>
      <c r="BN34" s="141">
        <v>1</v>
      </c>
    </row>
    <row r="35" spans="1:75" ht="75" x14ac:dyDescent="0.25">
      <c r="A35" s="92">
        <f t="shared" si="7"/>
        <v>32</v>
      </c>
      <c r="B35" s="66">
        <f>IF(LEN(D35)&gt;0,VLOOKUP(D35,'1. Lists'!$E$3:$J$52,6,FALSE),"")</f>
        <v>4</v>
      </c>
      <c r="C35" s="66" t="str">
        <f>IF(LEN(D35)&gt;0,VLOOKUP(D35,'1. Lists'!$E$3:$F$52,2,FALSE),"")</f>
        <v>Office of the Municipal Manager</v>
      </c>
      <c r="D35" s="120" t="s">
        <v>291</v>
      </c>
      <c r="E35" s="121"/>
      <c r="F35" s="65" t="str">
        <f>IF(E35&gt;0,VLOOKUP(E35,'2. Top Layer'!$A:$C,3,FALSE),"")</f>
        <v/>
      </c>
      <c r="G35" s="65" t="str">
        <f>IF(E35&gt;0,VLOOKUP(E35,'2. Top Layer'!$A:$T,17,FALSE),"")</f>
        <v/>
      </c>
      <c r="H35" s="66">
        <f>IF(LEN(I35)&gt;0,VLOOKUP(I35,'1. Lists'!$T:$U,2,FALSE),"")</f>
        <v>64</v>
      </c>
      <c r="I35" s="122" t="s">
        <v>435</v>
      </c>
      <c r="J35" s="123"/>
      <c r="K35" s="66">
        <f>IF(LEN(L35)&gt;0,VLOOKUP(L35,'1. Lists'!$AK:$AL,2,FALSE),"")</f>
        <v>9</v>
      </c>
      <c r="L35" s="124" t="s">
        <v>159</v>
      </c>
      <c r="M35" s="70">
        <f>IF(LEN(N35)&gt;0,VLOOKUP(N35,'1. Lists'!$AN:$AQ,4,FALSE),"")</f>
        <v>2</v>
      </c>
      <c r="N35" s="125" t="s">
        <v>382</v>
      </c>
      <c r="O35" s="66">
        <f>IF(LEN(P35)&gt;0,VLOOKUP(P35,'1. Lists'!$AA:$AC,3,FALSE),"")</f>
        <v>5</v>
      </c>
      <c r="P35" s="134" t="s">
        <v>42</v>
      </c>
      <c r="Q35" s="73">
        <f>IF(LEN(R35)&gt;0,VLOOKUP(R35,'1. Lists'!$W:$Y,3,FALSE),"")</f>
        <v>1</v>
      </c>
      <c r="R35" s="127" t="s">
        <v>169</v>
      </c>
      <c r="S35" s="73">
        <f>IF(LEN(T35)&gt;0,VLOOKUP(T35,'1. Lists'!$AH:$AI,2,FALSE),"")</f>
        <v>11</v>
      </c>
      <c r="T35" s="128" t="s">
        <v>396</v>
      </c>
      <c r="U35" s="76">
        <f>IF(LEN(V35)&gt;0,VLOOKUP(V35,'1. Lists'!$AE:$AF,2,FALSE),"")</f>
        <v>11</v>
      </c>
      <c r="V35" s="129" t="s">
        <v>355</v>
      </c>
      <c r="W35" s="130"/>
      <c r="X35" s="131" t="str">
        <f>IF(W35&gt;0,VLOOKUP($W35,#REF!,4,FALSE),"")</f>
        <v/>
      </c>
      <c r="Y35" s="78" t="str">
        <f>IF(W35&gt;0,VLOOKUP($W35,#REF!,10,FALSE),"")</f>
        <v/>
      </c>
      <c r="Z35" s="150" t="s">
        <v>791</v>
      </c>
      <c r="AA35" s="150" t="s">
        <v>468</v>
      </c>
      <c r="AB35" s="66">
        <f>IF(LEN(AC35)&gt;0,VLOOKUP(AC35,'1. Lists'!$AV$3:$AX$7,3,FALSE),"")</f>
        <v>2</v>
      </c>
      <c r="AC35" s="133" t="s">
        <v>13</v>
      </c>
      <c r="AD35" s="66">
        <f>IF(LEN(AE35)&gt;0,VLOOKUP(AE35,'1. Lists'!$AZ$3:$BB$7,3,FALSE),"")</f>
        <v>2</v>
      </c>
      <c r="AE35" s="122" t="s">
        <v>9</v>
      </c>
      <c r="AF35" s="123"/>
      <c r="AG35" s="123"/>
      <c r="AH35" s="66">
        <f>IF(LEN(AI35)&gt;0,VLOOKUP(AI35,'1. Lists'!$BD$3:$BF$15,3,FALSE),"")</f>
        <v>5</v>
      </c>
      <c r="AI35" s="127" t="s">
        <v>340</v>
      </c>
      <c r="AJ35" s="134" t="s">
        <v>68</v>
      </c>
      <c r="AK35" s="135" t="s">
        <v>461</v>
      </c>
      <c r="AL35" s="125" t="s">
        <v>414</v>
      </c>
      <c r="AM35" s="136">
        <v>10</v>
      </c>
      <c r="AN35" s="123"/>
      <c r="AO35" s="136" t="s">
        <v>601</v>
      </c>
      <c r="AP35" s="137" t="s">
        <v>790</v>
      </c>
      <c r="AQ35" s="123"/>
      <c r="AR35" s="123"/>
      <c r="AS35" s="123"/>
      <c r="AT35" s="123"/>
      <c r="AU35" s="135" t="s">
        <v>460</v>
      </c>
      <c r="AV35" s="80" t="str">
        <f>IF(LEN(AW35)&gt;0,VLOOKUP(AW35,'1. Lists'!$BQ:$BR,2,FALSE),"")</f>
        <v>ACC</v>
      </c>
      <c r="AW35" s="120" t="s">
        <v>14</v>
      </c>
      <c r="AX35" s="80">
        <f>IF(LEN(AY35)&gt;0,VLOOKUP(AY35,'1. Lists'!$BU$3:$BW$5,3,FALSE),"")</f>
        <v>3</v>
      </c>
      <c r="AY35" s="138" t="s">
        <v>83</v>
      </c>
      <c r="AZ35" s="139">
        <v>12</v>
      </c>
      <c r="BA35" s="82">
        <f t="shared" si="0"/>
        <v>12</v>
      </c>
      <c r="BC35" s="141">
        <v>1</v>
      </c>
      <c r="BD35" s="141">
        <v>1</v>
      </c>
      <c r="BE35" s="141">
        <v>1</v>
      </c>
      <c r="BF35" s="141">
        <v>1</v>
      </c>
      <c r="BG35" s="141">
        <v>1</v>
      </c>
      <c r="BH35" s="141">
        <v>1</v>
      </c>
      <c r="BI35" s="141">
        <v>1</v>
      </c>
      <c r="BJ35" s="141">
        <v>1</v>
      </c>
      <c r="BK35" s="141">
        <v>1</v>
      </c>
      <c r="BL35" s="141">
        <v>1</v>
      </c>
      <c r="BM35" s="141">
        <v>1</v>
      </c>
      <c r="BN35" s="141">
        <v>1</v>
      </c>
      <c r="BP35" s="66">
        <f t="shared" ref="BP35:BP39" si="22">MAX(BC35:BN35)</f>
        <v>1</v>
      </c>
      <c r="BQ35" s="66">
        <f t="shared" ref="BQ35:BQ39" si="23">SUM(BC35:BN35)</f>
        <v>12</v>
      </c>
      <c r="BR35" s="66">
        <f t="shared" ref="BR35:BR38" si="24">IF(SUM(BC35:BN35)&gt;0,SUM(BC35:BN35)/COUNTIF(BC35:BN35,"&gt;0"),0)</f>
        <v>1</v>
      </c>
      <c r="BS35" s="66">
        <v>0</v>
      </c>
      <c r="BU35" s="66">
        <f t="shared" ref="BU35:BU39" si="25">IF(SUM(BC35:BN35)&gt;0,SUM(BC35:BN35)/COUNTIF(BC35:BN35,"&gt;0"),0)</f>
        <v>1</v>
      </c>
      <c r="BV35" s="66">
        <f t="shared" ref="BV35:BV39" si="26">IF(BN35&gt;0,BN35,IF(BM35&gt;0,BM35,IF(BL35&gt;0,BL35,IF(BK35&gt;0,BK35,IF(BJ35&gt;0,BJ35,IF(BI35&gt;0,BI35,IF(BH35&gt;0,BH35,IF(BG35&gt;0,BG35,IF(BF35&gt;0,BF35,IF(BE35&gt;0,BE35,IF(BD35&gt;0,BD35,BC35)))))))))))</f>
        <v>1</v>
      </c>
      <c r="BW35" s="66">
        <f t="shared" ref="BW35:BW39" si="27">IF(BN35&gt;0,BN35,IF(BM35&gt;0,BM35,IF(BL35&gt;0,BL35,IF(BK35&gt;0,BK35,IF(BJ35&gt;0,BJ35,IF(BI35&gt;0,BI35,IF(BH35&gt;0,BH35,IF(BG35&gt;0,BG35,IF(BF35&gt;0,BF35,IF(BE35&gt;0,BE35,IF(BD35&gt;0,BD35,BC35)))))))))))</f>
        <v>1</v>
      </c>
    </row>
    <row r="36" spans="1:75" ht="75" x14ac:dyDescent="0.25">
      <c r="A36" s="92">
        <f t="shared" si="7"/>
        <v>33</v>
      </c>
      <c r="B36" s="66">
        <f>IF(LEN(D36)&gt;0,VLOOKUP(D36,'1. Lists'!$E$3:$J$52,6,FALSE),"")</f>
        <v>4</v>
      </c>
      <c r="C36" s="66" t="str">
        <f>IF(LEN(D36)&gt;0,VLOOKUP(D36,'1. Lists'!$E$3:$F$52,2,FALSE),"")</f>
        <v>Office of the Municipal Manager</v>
      </c>
      <c r="D36" s="120" t="s">
        <v>291</v>
      </c>
      <c r="E36" s="121"/>
      <c r="F36" s="65"/>
      <c r="H36" s="66">
        <f>IF(LEN(I36)&gt;0,VLOOKUP(I36,'1. Lists'!$T:$U,2,FALSE),"")</f>
        <v>67</v>
      </c>
      <c r="I36" s="122" t="s">
        <v>437</v>
      </c>
      <c r="J36" s="123"/>
      <c r="K36" s="66">
        <f>IF(LEN(L36)&gt;0,VLOOKUP(L36,'1. Lists'!$AK:$AL,2,FALSE),"")</f>
        <v>9</v>
      </c>
      <c r="L36" s="124" t="s">
        <v>159</v>
      </c>
      <c r="M36" s="70">
        <f>IF(LEN(N36)&gt;0,VLOOKUP(N36,'1. Lists'!$AN:$AQ,4,FALSE),"")</f>
        <v>2</v>
      </c>
      <c r="N36" s="125" t="s">
        <v>382</v>
      </c>
      <c r="O36" s="66">
        <f>IF(LEN(P36)&gt;0,VLOOKUP(P36,'1. Lists'!$AA:$AC,3,FALSE),"")</f>
        <v>4</v>
      </c>
      <c r="P36" s="134" t="s">
        <v>41</v>
      </c>
      <c r="Q36" s="73">
        <f>IF(LEN(R36)&gt;0,VLOOKUP(R36,'1. Lists'!$W:$Y,3,FALSE),"")</f>
        <v>1</v>
      </c>
      <c r="R36" s="127" t="s">
        <v>169</v>
      </c>
      <c r="S36" s="73">
        <f>IF(LEN(T36)&gt;0,VLOOKUP(T36,'1. Lists'!$AH:$AI,2,FALSE),"")</f>
        <v>11</v>
      </c>
      <c r="T36" s="128" t="s">
        <v>396</v>
      </c>
      <c r="U36" s="76">
        <f>IF(LEN(V36)&gt;0,VLOOKUP(V36,'1. Lists'!$AE:$AF,2,FALSE),"")</f>
        <v>11</v>
      </c>
      <c r="V36" s="129" t="s">
        <v>355</v>
      </c>
      <c r="W36" s="130"/>
      <c r="X36" s="131"/>
      <c r="Z36" s="150" t="s">
        <v>792</v>
      </c>
      <c r="AA36" s="150" t="s">
        <v>739</v>
      </c>
      <c r="AB36" s="66">
        <f>IF(LEN(AC36)&gt;0,VLOOKUP(AC36,'1. Lists'!$AV$3:$AX$7,3,FALSE),"")</f>
        <v>2</v>
      </c>
      <c r="AC36" s="133" t="s">
        <v>13</v>
      </c>
      <c r="AD36" s="66">
        <f>IF(LEN(AE36)&gt;0,VLOOKUP(AE36,'1. Lists'!$AZ$3:$BB$7,3,FALSE),"")</f>
        <v>2</v>
      </c>
      <c r="AE36" s="122" t="s">
        <v>9</v>
      </c>
      <c r="AF36" s="123"/>
      <c r="AG36" s="123"/>
      <c r="AH36" s="66">
        <f>IF(LEN(AI36)&gt;0,VLOOKUP(AI36,'1. Lists'!$BD$3:$BF$15,3,FALSE),"")</f>
        <v>5</v>
      </c>
      <c r="AI36" s="127" t="s">
        <v>340</v>
      </c>
      <c r="AJ36" s="134" t="s">
        <v>68</v>
      </c>
      <c r="AK36" s="135" t="s">
        <v>461</v>
      </c>
      <c r="AL36" s="125" t="s">
        <v>414</v>
      </c>
      <c r="AM36" s="145" t="s">
        <v>762</v>
      </c>
      <c r="AN36" s="123"/>
      <c r="AO36" s="136" t="s">
        <v>565</v>
      </c>
      <c r="AP36" s="137" t="s">
        <v>790</v>
      </c>
      <c r="AQ36" s="123"/>
      <c r="AR36" s="123"/>
      <c r="AS36" s="123"/>
      <c r="AT36" s="123"/>
      <c r="AU36" s="135" t="s">
        <v>460</v>
      </c>
      <c r="AV36" s="80" t="str">
        <f>IF(LEN(AW36)&gt;0,VLOOKUP(AW36,'1. Lists'!$BQ:$BR,2,FALSE),"")</f>
        <v>ACC</v>
      </c>
      <c r="AW36" s="120" t="s">
        <v>14</v>
      </c>
      <c r="AX36" s="80">
        <f>IF(LEN(AY36)&gt;0,VLOOKUP(AY36,'1. Lists'!$BU$3:$BW$5,3,FALSE),"")</f>
        <v>3</v>
      </c>
      <c r="AY36" s="138" t="s">
        <v>83</v>
      </c>
      <c r="AZ36" s="139">
        <v>4</v>
      </c>
      <c r="BA36" s="82">
        <f t="shared" si="0"/>
        <v>4</v>
      </c>
      <c r="BC36" s="141">
        <v>0</v>
      </c>
      <c r="BD36" s="141">
        <v>0</v>
      </c>
      <c r="BE36" s="141">
        <v>1</v>
      </c>
      <c r="BF36" s="141">
        <v>0</v>
      </c>
      <c r="BG36" s="141">
        <v>0</v>
      </c>
      <c r="BH36" s="141">
        <v>1</v>
      </c>
      <c r="BI36" s="141">
        <v>0</v>
      </c>
      <c r="BJ36" s="141">
        <v>0</v>
      </c>
      <c r="BK36" s="141">
        <v>1</v>
      </c>
      <c r="BL36" s="141">
        <v>0</v>
      </c>
      <c r="BM36" s="141">
        <v>0</v>
      </c>
      <c r="BN36" s="141">
        <v>1</v>
      </c>
      <c r="BP36" s="66">
        <f t="shared" si="22"/>
        <v>1</v>
      </c>
      <c r="BQ36" s="66">
        <f t="shared" si="23"/>
        <v>4</v>
      </c>
      <c r="BR36" s="66">
        <f t="shared" si="24"/>
        <v>1</v>
      </c>
      <c r="BU36" s="66">
        <f t="shared" si="25"/>
        <v>1</v>
      </c>
      <c r="BV36" s="66">
        <f t="shared" si="26"/>
        <v>1</v>
      </c>
      <c r="BW36" s="66">
        <f t="shared" si="27"/>
        <v>1</v>
      </c>
    </row>
    <row r="37" spans="1:75" ht="75" x14ac:dyDescent="0.25">
      <c r="A37" s="92">
        <f t="shared" si="7"/>
        <v>34</v>
      </c>
      <c r="B37" s="66">
        <f>IF(LEN(D37)&gt;0,VLOOKUP(D37,'1. Lists'!$E$3:$J$52,6,FALSE),"")</f>
        <v>4</v>
      </c>
      <c r="C37" s="66" t="str">
        <f>IF(LEN(D37)&gt;0,VLOOKUP(D37,'1. Lists'!$E$3:$F$52,2,FALSE),"")</f>
        <v>Office of the Municipal Manager</v>
      </c>
      <c r="D37" s="120" t="s">
        <v>291</v>
      </c>
      <c r="E37" s="121"/>
      <c r="F37" s="65"/>
      <c r="H37" s="66">
        <f>IF(LEN(I37)&gt;0,VLOOKUP(I37,'1. Lists'!$T:$U,2,FALSE),"")</f>
        <v>67</v>
      </c>
      <c r="I37" s="122" t="s">
        <v>437</v>
      </c>
      <c r="J37" s="123"/>
      <c r="K37" s="66">
        <f>IF(LEN(L37)&gt;0,VLOOKUP(L37,'1. Lists'!$AK:$AL,2,FALSE),"")</f>
        <v>9</v>
      </c>
      <c r="L37" s="124" t="s">
        <v>159</v>
      </c>
      <c r="M37" s="70">
        <f>IF(LEN(N37)&gt;0,VLOOKUP(N37,'1. Lists'!$AN:$AQ,4,FALSE),"")</f>
        <v>2</v>
      </c>
      <c r="N37" s="125" t="s">
        <v>382</v>
      </c>
      <c r="O37" s="66">
        <f>IF(LEN(P37)&gt;0,VLOOKUP(P37,'1. Lists'!$AA:$AC,3,FALSE),"")</f>
        <v>4</v>
      </c>
      <c r="P37" s="134" t="s">
        <v>41</v>
      </c>
      <c r="Q37" s="73">
        <f>IF(LEN(R37)&gt;0,VLOOKUP(R37,'1. Lists'!$W:$Y,3,FALSE),"")</f>
        <v>1</v>
      </c>
      <c r="R37" s="127" t="s">
        <v>169</v>
      </c>
      <c r="S37" s="73">
        <f>IF(LEN(T37)&gt;0,VLOOKUP(T37,'1. Lists'!$AH:$AI,2,FALSE),"")</f>
        <v>11</v>
      </c>
      <c r="T37" s="128" t="s">
        <v>396</v>
      </c>
      <c r="U37" s="76">
        <f>IF(LEN(V37)&gt;0,VLOOKUP(V37,'1. Lists'!$AE:$AF,2,FALSE),"")</f>
        <v>11</v>
      </c>
      <c r="V37" s="129" t="s">
        <v>355</v>
      </c>
      <c r="W37" s="130"/>
      <c r="X37" s="131"/>
      <c r="Z37" s="150" t="s">
        <v>793</v>
      </c>
      <c r="AA37" s="150" t="s">
        <v>794</v>
      </c>
      <c r="AB37" s="66">
        <f>IF(LEN(AC37)&gt;0,VLOOKUP(AC37,'1. Lists'!$AV$3:$AX$7,3,FALSE),"")</f>
        <v>2</v>
      </c>
      <c r="AC37" s="133" t="s">
        <v>13</v>
      </c>
      <c r="AD37" s="66">
        <f>IF(LEN(AE37)&gt;0,VLOOKUP(AE37,'1. Lists'!$AZ$3:$BB$7,3,FALSE),"")</f>
        <v>2</v>
      </c>
      <c r="AE37" s="122" t="s">
        <v>9</v>
      </c>
      <c r="AF37" s="123"/>
      <c r="AG37" s="123"/>
      <c r="AH37" s="66">
        <f>IF(LEN(AI37)&gt;0,VLOOKUP(AI37,'1. Lists'!$BD$3:$BF$15,3,FALSE),"")</f>
        <v>5</v>
      </c>
      <c r="AI37" s="127" t="s">
        <v>340</v>
      </c>
      <c r="AJ37" s="134" t="s">
        <v>68</v>
      </c>
      <c r="AK37" s="135" t="s">
        <v>461</v>
      </c>
      <c r="AL37" s="125" t="s">
        <v>414</v>
      </c>
      <c r="AM37" s="145" t="s">
        <v>762</v>
      </c>
      <c r="AN37" s="123"/>
      <c r="AO37" s="136" t="s">
        <v>795</v>
      </c>
      <c r="AP37" s="137" t="s">
        <v>790</v>
      </c>
      <c r="AQ37" s="123"/>
      <c r="AR37" s="123"/>
      <c r="AS37" s="123"/>
      <c r="AT37" s="123"/>
      <c r="AU37" s="135" t="s">
        <v>460</v>
      </c>
      <c r="AV37" s="80" t="str">
        <f>IF(LEN(AW37)&gt;0,VLOOKUP(AW37,'1. Lists'!$BQ:$BR,2,FALSE),"")</f>
        <v>ACC</v>
      </c>
      <c r="AW37" s="120" t="s">
        <v>14</v>
      </c>
      <c r="AX37" s="80">
        <f>IF(LEN(AY37)&gt;0,VLOOKUP(AY37,'1. Lists'!$BU$3:$BW$5,3,FALSE),"")</f>
        <v>3</v>
      </c>
      <c r="AY37" s="138" t="s">
        <v>83</v>
      </c>
      <c r="AZ37" s="139">
        <v>12</v>
      </c>
      <c r="BA37" s="82">
        <f t="shared" si="0"/>
        <v>12</v>
      </c>
      <c r="BC37" s="141">
        <v>1</v>
      </c>
      <c r="BD37" s="141">
        <v>1</v>
      </c>
      <c r="BE37" s="141">
        <v>1</v>
      </c>
      <c r="BF37" s="141">
        <v>1</v>
      </c>
      <c r="BG37" s="141">
        <v>1</v>
      </c>
      <c r="BH37" s="141">
        <v>1</v>
      </c>
      <c r="BI37" s="141">
        <v>1</v>
      </c>
      <c r="BJ37" s="141">
        <v>1</v>
      </c>
      <c r="BK37" s="141">
        <v>1</v>
      </c>
      <c r="BL37" s="141">
        <v>1</v>
      </c>
      <c r="BM37" s="141">
        <v>1</v>
      </c>
      <c r="BN37" s="141">
        <v>1</v>
      </c>
      <c r="BP37" s="66">
        <f t="shared" si="22"/>
        <v>1</v>
      </c>
      <c r="BQ37" s="66">
        <f t="shared" si="23"/>
        <v>12</v>
      </c>
      <c r="BR37" s="66">
        <f t="shared" si="24"/>
        <v>1</v>
      </c>
      <c r="BU37" s="66">
        <f t="shared" si="25"/>
        <v>1</v>
      </c>
      <c r="BV37" s="66">
        <f t="shared" si="26"/>
        <v>1</v>
      </c>
      <c r="BW37" s="66">
        <f t="shared" si="27"/>
        <v>1</v>
      </c>
    </row>
    <row r="38" spans="1:75" ht="75" x14ac:dyDescent="0.25">
      <c r="A38" s="92">
        <f t="shared" si="7"/>
        <v>35</v>
      </c>
      <c r="B38" s="66">
        <f>IF(LEN(D38)&gt;0,VLOOKUP(D38,'1. Lists'!$E$3:$J$52,6,FALSE),"")</f>
        <v>4</v>
      </c>
      <c r="C38" s="66" t="str">
        <f>IF(LEN(D38)&gt;0,VLOOKUP(D38,'1. Lists'!$E$3:$F$52,2,FALSE),"")</f>
        <v>Office of the Municipal Manager</v>
      </c>
      <c r="D38" s="120" t="s">
        <v>291</v>
      </c>
      <c r="E38" s="121"/>
      <c r="F38" s="65"/>
      <c r="H38" s="66">
        <f>IF(LEN(I38)&gt;0,VLOOKUP(I38,'1. Lists'!$T:$U,2,FALSE),"")</f>
        <v>67</v>
      </c>
      <c r="I38" s="122" t="s">
        <v>437</v>
      </c>
      <c r="J38" s="123"/>
      <c r="K38" s="66">
        <f>IF(LEN(L38)&gt;0,VLOOKUP(L38,'1. Lists'!$AK:$AL,2,FALSE),"")</f>
        <v>9</v>
      </c>
      <c r="L38" s="124" t="s">
        <v>159</v>
      </c>
      <c r="M38" s="70">
        <f>IF(LEN(N38)&gt;0,VLOOKUP(N38,'1. Lists'!$AN:$AQ,4,FALSE),"")</f>
        <v>2</v>
      </c>
      <c r="N38" s="125" t="s">
        <v>382</v>
      </c>
      <c r="O38" s="66">
        <f>IF(LEN(P38)&gt;0,VLOOKUP(P38,'1. Lists'!$AA:$AC,3,FALSE),"")</f>
        <v>4</v>
      </c>
      <c r="P38" s="134" t="s">
        <v>41</v>
      </c>
      <c r="Q38" s="73">
        <f>IF(LEN(R38)&gt;0,VLOOKUP(R38,'1. Lists'!$W:$Y,3,FALSE),"")</f>
        <v>1</v>
      </c>
      <c r="R38" s="127" t="s">
        <v>169</v>
      </c>
      <c r="S38" s="73">
        <f>IF(LEN(T38)&gt;0,VLOOKUP(T38,'1. Lists'!$AH:$AI,2,FALSE),"")</f>
        <v>11</v>
      </c>
      <c r="T38" s="128" t="s">
        <v>396</v>
      </c>
      <c r="U38" s="76">
        <f>IF(LEN(V38)&gt;0,VLOOKUP(V38,'1. Lists'!$AE:$AF,2,FALSE),"")</f>
        <v>11</v>
      </c>
      <c r="V38" s="129" t="s">
        <v>355</v>
      </c>
      <c r="W38" s="130"/>
      <c r="X38" s="131"/>
      <c r="Z38" s="150" t="s">
        <v>796</v>
      </c>
      <c r="AA38" s="150" t="s">
        <v>797</v>
      </c>
      <c r="AB38" s="66">
        <f>IF(LEN(AC38)&gt;0,VLOOKUP(AC38,'1. Lists'!$AV$3:$AX$7,3,FALSE),"")</f>
        <v>3</v>
      </c>
      <c r="AC38" s="133" t="s">
        <v>4</v>
      </c>
      <c r="AD38" s="66">
        <f>IF(LEN(AE38)&gt;0,VLOOKUP(AE38,'1. Lists'!$AZ$3:$BB$7,3,FALSE),"")</f>
        <v>2</v>
      </c>
      <c r="AE38" s="122" t="s">
        <v>9</v>
      </c>
      <c r="AF38" s="123"/>
      <c r="AG38" s="123"/>
      <c r="AH38" s="66">
        <f>IF(LEN(AI38)&gt;0,VLOOKUP(AI38,'1. Lists'!$BD$3:$BF$15,3,FALSE),"")</f>
        <v>5</v>
      </c>
      <c r="AI38" s="127" t="s">
        <v>340</v>
      </c>
      <c r="AJ38" s="134" t="s">
        <v>68</v>
      </c>
      <c r="AK38" s="135" t="s">
        <v>461</v>
      </c>
      <c r="AL38" s="125" t="s">
        <v>414</v>
      </c>
      <c r="AM38" s="145" t="s">
        <v>762</v>
      </c>
      <c r="AN38" s="123"/>
      <c r="AO38" s="145">
        <v>0.85</v>
      </c>
      <c r="AP38" s="137" t="s">
        <v>798</v>
      </c>
      <c r="AQ38" s="123"/>
      <c r="AR38" s="123"/>
      <c r="AS38" s="123"/>
      <c r="AT38" s="123"/>
      <c r="AU38" s="135" t="s">
        <v>460</v>
      </c>
      <c r="AV38" s="80" t="str">
        <f>IF(LEN(AW38)&gt;0,VLOOKUP(AW38,'1. Lists'!$BQ:$BR,2,FALSE),"")</f>
        <v>LAST</v>
      </c>
      <c r="AW38" s="120" t="s">
        <v>190</v>
      </c>
      <c r="AX38" s="80">
        <f>IF(LEN(AY38)&gt;0,VLOOKUP(AY38,'1. Lists'!$BU$3:$BW$5,3,FALSE),"")</f>
        <v>2</v>
      </c>
      <c r="AY38" s="138" t="s">
        <v>82</v>
      </c>
      <c r="AZ38" s="139">
        <v>85</v>
      </c>
      <c r="BA38" s="82">
        <f t="shared" si="0"/>
        <v>85</v>
      </c>
      <c r="BC38" s="141">
        <v>0</v>
      </c>
      <c r="BD38" s="141">
        <v>0</v>
      </c>
      <c r="BE38" s="141">
        <v>0</v>
      </c>
      <c r="BF38" s="141">
        <v>0</v>
      </c>
      <c r="BG38" s="141">
        <v>0</v>
      </c>
      <c r="BH38" s="141">
        <v>0</v>
      </c>
      <c r="BI38" s="141">
        <v>0</v>
      </c>
      <c r="BJ38" s="141">
        <v>0</v>
      </c>
      <c r="BK38" s="141">
        <v>0</v>
      </c>
      <c r="BL38" s="141">
        <v>0</v>
      </c>
      <c r="BM38" s="141">
        <v>0</v>
      </c>
      <c r="BN38" s="141">
        <v>85</v>
      </c>
      <c r="BP38" s="66">
        <f t="shared" si="22"/>
        <v>85</v>
      </c>
      <c r="BQ38" s="66">
        <f t="shared" si="23"/>
        <v>85</v>
      </c>
      <c r="BR38" s="66">
        <f t="shared" si="24"/>
        <v>85</v>
      </c>
      <c r="BU38" s="66">
        <f t="shared" si="25"/>
        <v>85</v>
      </c>
      <c r="BV38" s="66">
        <f t="shared" si="26"/>
        <v>85</v>
      </c>
      <c r="BW38" s="66">
        <f t="shared" si="27"/>
        <v>85</v>
      </c>
    </row>
    <row r="39" spans="1:75" ht="75" x14ac:dyDescent="0.25">
      <c r="A39" s="92">
        <f t="shared" si="7"/>
        <v>36</v>
      </c>
      <c r="B39" s="66">
        <f>IF(LEN(D39)&gt;0,VLOOKUP(D39,'1. Lists'!$E$3:$J$52,6,FALSE),"")</f>
        <v>4</v>
      </c>
      <c r="C39" s="66" t="str">
        <f>IF(LEN(D39)&gt;0,VLOOKUP(D39,'1. Lists'!$E$3:$F$52,2,FALSE),"")</f>
        <v>Office of the Municipal Manager</v>
      </c>
      <c r="D39" s="120" t="s">
        <v>291</v>
      </c>
      <c r="E39" s="121"/>
      <c r="F39" s="65"/>
      <c r="H39" s="66">
        <f>IF(LEN(I39)&gt;0,VLOOKUP(I39,'1. Lists'!$T:$U,2,FALSE),"")</f>
        <v>67</v>
      </c>
      <c r="I39" s="122" t="s">
        <v>437</v>
      </c>
      <c r="J39" s="123"/>
      <c r="K39" s="66">
        <f>IF(LEN(L39)&gt;0,VLOOKUP(L39,'1. Lists'!$AK:$AL,2,FALSE),"")</f>
        <v>9</v>
      </c>
      <c r="L39" s="124" t="s">
        <v>159</v>
      </c>
      <c r="M39" s="70">
        <f>IF(LEN(N39)&gt;0,VLOOKUP(N39,'1. Lists'!$AN:$AQ,4,FALSE),"")</f>
        <v>2</v>
      </c>
      <c r="N39" s="125" t="s">
        <v>382</v>
      </c>
      <c r="O39" s="66">
        <f>IF(LEN(P39)&gt;0,VLOOKUP(P39,'1. Lists'!$AA:$AC,3,FALSE),"")</f>
        <v>4</v>
      </c>
      <c r="P39" s="134" t="s">
        <v>41</v>
      </c>
      <c r="Q39" s="73">
        <f>IF(LEN(R39)&gt;0,VLOOKUP(R39,'1. Lists'!$W:$Y,3,FALSE),"")</f>
        <v>1</v>
      </c>
      <c r="R39" s="127" t="s">
        <v>169</v>
      </c>
      <c r="S39" s="73">
        <f>IF(LEN(T39)&gt;0,VLOOKUP(T39,'1. Lists'!$AH:$AI,2,FALSE),"")</f>
        <v>11</v>
      </c>
      <c r="T39" s="128" t="s">
        <v>396</v>
      </c>
      <c r="U39" s="76">
        <f>IF(LEN(V39)&gt;0,VLOOKUP(V39,'1. Lists'!$AE:$AF,2,FALSE),"")</f>
        <v>11</v>
      </c>
      <c r="V39" s="129" t="s">
        <v>355</v>
      </c>
      <c r="W39" s="130"/>
      <c r="X39" s="131"/>
      <c r="Z39" s="150" t="s">
        <v>787</v>
      </c>
      <c r="AA39" s="150" t="s">
        <v>788</v>
      </c>
      <c r="AB39" s="66">
        <f>IF(LEN(AC39)&gt;0,VLOOKUP(AC39,'1. Lists'!$AV$3:$AX$7,3,FALSE),"")</f>
        <v>3</v>
      </c>
      <c r="AC39" s="133" t="s">
        <v>4</v>
      </c>
      <c r="AD39" s="66">
        <f>IF(LEN(AE39)&gt;0,VLOOKUP(AE39,'1. Lists'!$AZ$3:$BB$7,3,FALSE),"")</f>
        <v>2</v>
      </c>
      <c r="AE39" s="122" t="s">
        <v>9</v>
      </c>
      <c r="AF39" s="123"/>
      <c r="AG39" s="123"/>
      <c r="AH39" s="66">
        <f>IF(LEN(AI39)&gt;0,VLOOKUP(AI39,'1. Lists'!$BD$3:$BF$15,3,FALSE),"")</f>
        <v>5</v>
      </c>
      <c r="AI39" s="127" t="s">
        <v>340</v>
      </c>
      <c r="AJ39" s="134" t="s">
        <v>68</v>
      </c>
      <c r="AK39" s="135" t="s">
        <v>461</v>
      </c>
      <c r="AL39" s="125" t="s">
        <v>414</v>
      </c>
      <c r="AM39" s="145" t="s">
        <v>762</v>
      </c>
      <c r="AN39" s="123"/>
      <c r="AO39" s="145" t="s">
        <v>842</v>
      </c>
      <c r="AP39" s="137" t="s">
        <v>790</v>
      </c>
      <c r="AQ39" s="123"/>
      <c r="AR39" s="123"/>
      <c r="AS39" s="123"/>
      <c r="AT39" s="123"/>
      <c r="AU39" s="135" t="s">
        <v>460</v>
      </c>
      <c r="AV39" s="80" t="str">
        <f>IF(LEN(AW39)&gt;0,VLOOKUP(AW39,'1. Lists'!$BQ:$BR,2,FALSE),"")</f>
        <v>LAST</v>
      </c>
      <c r="AW39" s="120" t="s">
        <v>190</v>
      </c>
      <c r="AX39" s="80">
        <f>IF(LEN(AY39)&gt;0,VLOOKUP(AY39,'1. Lists'!$BU$3:$BW$5,3,FALSE),"")</f>
        <v>3</v>
      </c>
      <c r="AY39" s="138" t="s">
        <v>83</v>
      </c>
      <c r="AZ39" s="139">
        <v>1</v>
      </c>
      <c r="BA39" s="82">
        <f t="shared" ref="BA39" si="28">IF(LEN(AZ39)&gt;0,AZ39,"")</f>
        <v>1</v>
      </c>
      <c r="BC39" s="141">
        <v>0</v>
      </c>
      <c r="BD39" s="141">
        <v>0</v>
      </c>
      <c r="BE39" s="141">
        <v>0</v>
      </c>
      <c r="BF39" s="141">
        <v>1</v>
      </c>
      <c r="BG39" s="141">
        <v>0</v>
      </c>
      <c r="BH39" s="141">
        <v>0</v>
      </c>
      <c r="BI39" s="141">
        <v>0</v>
      </c>
      <c r="BJ39" s="141">
        <v>0</v>
      </c>
      <c r="BK39" s="141">
        <v>0</v>
      </c>
      <c r="BL39" s="141">
        <v>0</v>
      </c>
      <c r="BM39" s="141">
        <v>0</v>
      </c>
      <c r="BN39" s="141">
        <v>0</v>
      </c>
      <c r="BP39" s="66">
        <f t="shared" si="22"/>
        <v>1</v>
      </c>
      <c r="BQ39" s="66">
        <f t="shared" si="23"/>
        <v>1</v>
      </c>
      <c r="BR39" s="66">
        <f t="shared" ref="BR39" si="29">IF(SUM(BC39:BN39)&gt;0,SUM(BC39:BN39)/COUNTIF(BC39:BN39,"&gt;0"),0)</f>
        <v>1</v>
      </c>
      <c r="BU39" s="66">
        <f t="shared" si="25"/>
        <v>1</v>
      </c>
      <c r="BV39" s="66">
        <f t="shared" si="26"/>
        <v>1</v>
      </c>
      <c r="BW39" s="66">
        <f t="shared" si="27"/>
        <v>1</v>
      </c>
    </row>
    <row r="40" spans="1:75" ht="75" x14ac:dyDescent="0.25">
      <c r="A40" s="92">
        <f t="shared" si="7"/>
        <v>37</v>
      </c>
      <c r="B40" s="66">
        <f>IF(LEN(D40)&gt;0,VLOOKUP(D40,'1. Lists'!$E$3:$J$52,6,FALSE),"")</f>
        <v>5</v>
      </c>
      <c r="C40" s="66" t="str">
        <f>IF(LEN(D40)&gt;0,VLOOKUP(D40,'1. Lists'!$E$3:$F$52,2,FALSE),"")</f>
        <v>Office of the Municipal Manager</v>
      </c>
      <c r="D40" s="120" t="s">
        <v>186</v>
      </c>
      <c r="E40" s="121"/>
      <c r="F40" s="65" t="str">
        <f>IF(E40&gt;0,VLOOKUP(E40,'2. Top Layer'!$A:$C,3,FALSE),"")</f>
        <v/>
      </c>
      <c r="G40" s="65" t="str">
        <f>IF(E40&gt;0,VLOOKUP(E40,'2. Top Layer'!$A:$T,17,FALSE),"")</f>
        <v/>
      </c>
      <c r="H40" s="66">
        <f>IF(LEN(I40)&gt;0,VLOOKUP(I40,'1. Lists'!$T:$U,2,FALSE),"")</f>
        <v>69</v>
      </c>
      <c r="I40" s="122" t="s">
        <v>438</v>
      </c>
      <c r="J40" s="123"/>
      <c r="K40" s="66">
        <f>IF(LEN(L40)&gt;0,VLOOKUP(L40,'1. Lists'!$AK:$AL,2,FALSE),"")</f>
        <v>5</v>
      </c>
      <c r="L40" s="124" t="s">
        <v>155</v>
      </c>
      <c r="M40" s="70">
        <f>IF(LEN(N40)&gt;0,VLOOKUP(N40,'1. Lists'!$AN:$AQ,4,FALSE),"")</f>
        <v>2</v>
      </c>
      <c r="N40" s="125" t="s">
        <v>382</v>
      </c>
      <c r="O40" s="66">
        <f>IF(LEN(P40)&gt;0,VLOOKUP(P40,'1. Lists'!$AA:$AC,3,FALSE),"")</f>
        <v>1</v>
      </c>
      <c r="P40" s="126" t="s">
        <v>38</v>
      </c>
      <c r="Q40" s="73">
        <f>IF(LEN(R40)&gt;0,VLOOKUP(R40,'1. Lists'!$W:$Y,3,FALSE),"")</f>
        <v>1</v>
      </c>
      <c r="R40" s="127" t="s">
        <v>169</v>
      </c>
      <c r="S40" s="73">
        <f>IF(LEN(T40)&gt;0,VLOOKUP(T40,'1. Lists'!$AH:$AI,2,FALSE),"")</f>
        <v>13</v>
      </c>
      <c r="T40" s="128" t="s">
        <v>398</v>
      </c>
      <c r="U40" s="76">
        <f>IF(LEN(V40)&gt;0,VLOOKUP(V40,'1. Lists'!$AE:$AF,2,FALSE),"")</f>
        <v>11</v>
      </c>
      <c r="V40" s="129" t="s">
        <v>355</v>
      </c>
      <c r="W40" s="130"/>
      <c r="X40" s="131" t="str">
        <f>IF(W40&gt;0,VLOOKUP($W40,#REF!,4,FALSE),"")</f>
        <v/>
      </c>
      <c r="Y40" s="78" t="str">
        <f>IF(W40&gt;0,VLOOKUP($W40,#REF!,10,FALSE),"")</f>
        <v/>
      </c>
      <c r="Z40" s="150" t="s">
        <v>813</v>
      </c>
      <c r="AA40" s="150" t="s">
        <v>814</v>
      </c>
      <c r="AB40" s="66">
        <f>IF(LEN(AC40)&gt;0,VLOOKUP(AC40,'1. Lists'!$AV$3:$AX$7,3,FALSE),"")</f>
        <v>2</v>
      </c>
      <c r="AC40" s="133" t="s">
        <v>13</v>
      </c>
      <c r="AD40" s="66">
        <f>IF(LEN(AE40)&gt;0,VLOOKUP(AE40,'1. Lists'!$AZ$3:$BB$7,3,FALSE),"")</f>
        <v>1</v>
      </c>
      <c r="AE40" s="122" t="s">
        <v>15</v>
      </c>
      <c r="AF40" s="123"/>
      <c r="AG40" s="123"/>
      <c r="AH40" s="66">
        <f>IF(LEN(AI40)&gt;0,VLOOKUP(AI40,'1. Lists'!$BD$3:$BF$15,3,FALSE),"")</f>
        <v>5</v>
      </c>
      <c r="AI40" s="127" t="s">
        <v>340</v>
      </c>
      <c r="AJ40" s="134" t="s">
        <v>68</v>
      </c>
      <c r="AK40" s="135" t="s">
        <v>461</v>
      </c>
      <c r="AL40" s="125" t="s">
        <v>426</v>
      </c>
      <c r="AM40" s="136">
        <v>1</v>
      </c>
      <c r="AN40" s="123"/>
      <c r="AO40" s="136" t="s">
        <v>815</v>
      </c>
      <c r="AP40" s="137" t="s">
        <v>790</v>
      </c>
      <c r="AQ40" s="123"/>
      <c r="AR40" s="123"/>
      <c r="AS40" s="123"/>
      <c r="AT40" s="123"/>
      <c r="AU40" s="135" t="s">
        <v>460</v>
      </c>
      <c r="AV40" s="80" t="str">
        <f>IF(LEN(AW40)&gt;0,VLOOKUP(AW40,'1. Lists'!$BQ:$BR,2,FALSE),"")</f>
        <v>CO</v>
      </c>
      <c r="AW40" s="133" t="s">
        <v>12</v>
      </c>
      <c r="AX40" s="80">
        <f>IF(LEN(AY40)&gt;0,VLOOKUP(AY40,'1. Lists'!$BU$3:$BW$5,3,FALSE),"")</f>
        <v>3</v>
      </c>
      <c r="AY40" s="138" t="s">
        <v>83</v>
      </c>
      <c r="AZ40" s="139">
        <v>2</v>
      </c>
      <c r="BA40" s="82">
        <f t="shared" si="0"/>
        <v>2</v>
      </c>
      <c r="BC40" s="141">
        <v>0</v>
      </c>
      <c r="BD40" s="141">
        <v>0</v>
      </c>
      <c r="BE40" s="141">
        <v>0</v>
      </c>
      <c r="BF40" s="141">
        <v>0</v>
      </c>
      <c r="BG40" s="141">
        <v>0</v>
      </c>
      <c r="BH40" s="141">
        <v>0</v>
      </c>
      <c r="BI40" s="141">
        <v>0</v>
      </c>
      <c r="BJ40" s="141">
        <v>0</v>
      </c>
      <c r="BK40" s="141">
        <v>0</v>
      </c>
      <c r="BL40" s="141">
        <v>2</v>
      </c>
      <c r="BM40" s="141">
        <v>0</v>
      </c>
      <c r="BN40" s="141">
        <v>0</v>
      </c>
      <c r="BP40" s="66">
        <f t="shared" si="1"/>
        <v>2</v>
      </c>
      <c r="BQ40" s="66">
        <f t="shared" si="2"/>
        <v>2</v>
      </c>
      <c r="BR40" s="66">
        <f t="shared" si="3"/>
        <v>2</v>
      </c>
      <c r="BS40" s="66">
        <v>0</v>
      </c>
      <c r="BU40" s="66">
        <f t="shared" si="4"/>
        <v>2</v>
      </c>
      <c r="BV40" s="66">
        <f t="shared" si="5"/>
        <v>2</v>
      </c>
      <c r="BW40" s="66">
        <f t="shared" si="6"/>
        <v>2</v>
      </c>
    </row>
    <row r="41" spans="1:75" ht="75" x14ac:dyDescent="0.25">
      <c r="A41" s="92">
        <f t="shared" si="7"/>
        <v>38</v>
      </c>
      <c r="B41" s="66">
        <f>IF(LEN(D41)&gt;0,VLOOKUP(D41,'1. Lists'!$E$3:$J$52,6,FALSE),"")</f>
        <v>5</v>
      </c>
      <c r="C41" s="66" t="str">
        <f>IF(LEN(D41)&gt;0,VLOOKUP(D41,'1. Lists'!$E$3:$F$52,2,FALSE),"")</f>
        <v>Office of the Municipal Manager</v>
      </c>
      <c r="D41" s="120" t="s">
        <v>186</v>
      </c>
      <c r="E41" s="121"/>
      <c r="F41" s="65" t="str">
        <f>IF(E41&gt;0,VLOOKUP(E41,'2. Top Layer'!$A:$C,3,FALSE),"")</f>
        <v/>
      </c>
      <c r="G41" s="65" t="str">
        <f>IF(E41&gt;0,VLOOKUP(E41,'2. Top Layer'!$A:$T,17,FALSE),"")</f>
        <v/>
      </c>
      <c r="H41" s="66">
        <f>IF(LEN(I41)&gt;0,VLOOKUP(I41,'1. Lists'!$T:$U,2,FALSE),"")</f>
        <v>69</v>
      </c>
      <c r="I41" s="122" t="s">
        <v>438</v>
      </c>
      <c r="J41" s="123"/>
      <c r="K41" s="66">
        <f>IF(LEN(L41)&gt;0,VLOOKUP(L41,'1. Lists'!$AK:$AL,2,FALSE),"")</f>
        <v>5</v>
      </c>
      <c r="L41" s="124" t="s">
        <v>155</v>
      </c>
      <c r="M41" s="70">
        <f>IF(LEN(N41)&gt;0,VLOOKUP(N41,'1. Lists'!$AN:$AQ,4,FALSE),"")</f>
        <v>2</v>
      </c>
      <c r="N41" s="125" t="s">
        <v>382</v>
      </c>
      <c r="O41" s="66">
        <f>IF(LEN(P41)&gt;0,VLOOKUP(P41,'1. Lists'!$AA:$AC,3,FALSE),"")</f>
        <v>1</v>
      </c>
      <c r="P41" s="126" t="s">
        <v>38</v>
      </c>
      <c r="Q41" s="73">
        <f>IF(LEN(R41)&gt;0,VLOOKUP(R41,'1. Lists'!$W:$Y,3,FALSE),"")</f>
        <v>1</v>
      </c>
      <c r="R41" s="127" t="s">
        <v>169</v>
      </c>
      <c r="S41" s="73">
        <f>IF(LEN(T41)&gt;0,VLOOKUP(T41,'1. Lists'!$AH:$AI,2,FALSE),"")</f>
        <v>13</v>
      </c>
      <c r="T41" s="128" t="s">
        <v>398</v>
      </c>
      <c r="U41" s="76">
        <f>IF(LEN(V41)&gt;0,VLOOKUP(V41,'1. Lists'!$AE:$AF,2,FALSE),"")</f>
        <v>11</v>
      </c>
      <c r="V41" s="129" t="s">
        <v>355</v>
      </c>
      <c r="W41" s="130"/>
      <c r="X41" s="131" t="str">
        <f>IF(W41&gt;0,VLOOKUP($W41,#REF!,4,FALSE),"")</f>
        <v/>
      </c>
      <c r="Y41" s="78" t="str">
        <f>IF(W41&gt;0,VLOOKUP($W41,#REF!,10,FALSE),"")</f>
        <v/>
      </c>
      <c r="Z41" s="150" t="s">
        <v>816</v>
      </c>
      <c r="AA41" s="150" t="s">
        <v>817</v>
      </c>
      <c r="AB41" s="66">
        <f>IF(LEN(AC41)&gt;0,VLOOKUP(AC41,'1. Lists'!$AV$3:$AX$7,3,FALSE),"")</f>
        <v>2</v>
      </c>
      <c r="AC41" s="133" t="s">
        <v>13</v>
      </c>
      <c r="AD41" s="66">
        <f>IF(LEN(AE41)&gt;0,VLOOKUP(AE41,'1. Lists'!$AZ$3:$BB$7,3,FALSE),"")</f>
        <v>1</v>
      </c>
      <c r="AE41" s="122" t="s">
        <v>15</v>
      </c>
      <c r="AF41" s="123"/>
      <c r="AG41" s="123"/>
      <c r="AH41" s="66">
        <f>IF(LEN(AI41)&gt;0,VLOOKUP(AI41,'1. Lists'!$BD$3:$BF$15,3,FALSE),"")</f>
        <v>5</v>
      </c>
      <c r="AI41" s="127" t="s">
        <v>340</v>
      </c>
      <c r="AJ41" s="134" t="s">
        <v>68</v>
      </c>
      <c r="AK41" s="135" t="s">
        <v>461</v>
      </c>
      <c r="AL41" s="125" t="s">
        <v>426</v>
      </c>
      <c r="AM41" s="136">
        <v>1</v>
      </c>
      <c r="AN41" s="123"/>
      <c r="AO41" s="136" t="s">
        <v>818</v>
      </c>
      <c r="AP41" s="137" t="s">
        <v>790</v>
      </c>
      <c r="AQ41" s="123"/>
      <c r="AR41" s="123"/>
      <c r="AS41" s="123"/>
      <c r="AT41" s="123"/>
      <c r="AU41" s="135" t="s">
        <v>460</v>
      </c>
      <c r="AV41" s="80" t="str">
        <f>IF(LEN(AW41)&gt;0,VLOOKUP(AW41,'1. Lists'!$BQ:$BR,2,FALSE),"")</f>
        <v>CO</v>
      </c>
      <c r="AW41" s="133" t="s">
        <v>12</v>
      </c>
      <c r="AX41" s="80">
        <f>IF(LEN(AY41)&gt;0,VLOOKUP(AY41,'1. Lists'!$BU$3:$BW$5,3,FALSE),"")</f>
        <v>3</v>
      </c>
      <c r="AY41" s="138" t="s">
        <v>83</v>
      </c>
      <c r="AZ41" s="139">
        <v>1</v>
      </c>
      <c r="BA41" s="82">
        <f t="shared" si="0"/>
        <v>1</v>
      </c>
      <c r="BC41" s="141">
        <v>0</v>
      </c>
      <c r="BD41" s="141">
        <v>0</v>
      </c>
      <c r="BE41" s="141">
        <v>0</v>
      </c>
      <c r="BF41" s="141">
        <v>0</v>
      </c>
      <c r="BG41" s="141">
        <v>0</v>
      </c>
      <c r="BH41" s="141">
        <v>1</v>
      </c>
      <c r="BI41" s="141">
        <v>0</v>
      </c>
      <c r="BJ41" s="141">
        <v>0</v>
      </c>
      <c r="BK41" s="141">
        <v>0</v>
      </c>
      <c r="BL41" s="141">
        <v>0</v>
      </c>
      <c r="BM41" s="141">
        <v>0</v>
      </c>
      <c r="BN41" s="141">
        <v>0</v>
      </c>
      <c r="BP41" s="66">
        <f t="shared" si="1"/>
        <v>1</v>
      </c>
      <c r="BQ41" s="66">
        <f t="shared" si="2"/>
        <v>1</v>
      </c>
      <c r="BR41" s="66">
        <f t="shared" si="3"/>
        <v>1</v>
      </c>
      <c r="BS41" s="66">
        <v>0</v>
      </c>
      <c r="BU41" s="66">
        <f t="shared" si="4"/>
        <v>1</v>
      </c>
      <c r="BV41" s="66">
        <f t="shared" si="5"/>
        <v>1</v>
      </c>
      <c r="BW41" s="66">
        <f t="shared" si="6"/>
        <v>1</v>
      </c>
    </row>
    <row r="42" spans="1:75" ht="75" x14ac:dyDescent="0.25">
      <c r="A42" s="92">
        <f t="shared" si="7"/>
        <v>39</v>
      </c>
      <c r="B42" s="66">
        <f>IF(LEN(D42)&gt;0,VLOOKUP(D42,'1. Lists'!$E$3:$J$52,6,FALSE),"")</f>
        <v>5</v>
      </c>
      <c r="C42" s="66" t="str">
        <f>IF(LEN(D42)&gt;0,VLOOKUP(D42,'1. Lists'!$E$3:$F$52,2,FALSE),"")</f>
        <v>Office of the Municipal Manager</v>
      </c>
      <c r="D42" s="120" t="s">
        <v>186</v>
      </c>
      <c r="E42" s="121"/>
      <c r="F42" s="65" t="str">
        <f>IF(E42&gt;0,VLOOKUP(E42,'2. Top Layer'!$A:$C,3,FALSE),"")</f>
        <v/>
      </c>
      <c r="G42" s="65" t="str">
        <f>IF(E42&gt;0,VLOOKUP(E42,'2. Top Layer'!$A:$T,17,FALSE),"")</f>
        <v/>
      </c>
      <c r="H42" s="66">
        <f>IF(LEN(I42)&gt;0,VLOOKUP(I42,'1. Lists'!$T:$U,2,FALSE),"")</f>
        <v>69</v>
      </c>
      <c r="I42" s="122" t="s">
        <v>438</v>
      </c>
      <c r="J42" s="123"/>
      <c r="K42" s="66">
        <f>IF(LEN(L42)&gt;0,VLOOKUP(L42,'1. Lists'!$AK:$AL,2,FALSE),"")</f>
        <v>5</v>
      </c>
      <c r="L42" s="124" t="s">
        <v>155</v>
      </c>
      <c r="M42" s="70">
        <f>IF(LEN(N42)&gt;0,VLOOKUP(N42,'1. Lists'!$AN:$AQ,4,FALSE),"")</f>
        <v>2</v>
      </c>
      <c r="N42" s="125" t="s">
        <v>382</v>
      </c>
      <c r="O42" s="66">
        <f>IF(LEN(P42)&gt;0,VLOOKUP(P42,'1. Lists'!$AA:$AC,3,FALSE),"")</f>
        <v>1</v>
      </c>
      <c r="P42" s="126" t="s">
        <v>38</v>
      </c>
      <c r="Q42" s="73">
        <f>IF(LEN(R42)&gt;0,VLOOKUP(R42,'1. Lists'!$W:$Y,3,FALSE),"")</f>
        <v>1</v>
      </c>
      <c r="R42" s="127" t="s">
        <v>169</v>
      </c>
      <c r="S42" s="73">
        <f>IF(LEN(T42)&gt;0,VLOOKUP(T42,'1. Lists'!$AH:$AI,2,FALSE),"")</f>
        <v>13</v>
      </c>
      <c r="T42" s="128" t="s">
        <v>398</v>
      </c>
      <c r="U42" s="76">
        <f>IF(LEN(V42)&gt;0,VLOOKUP(V42,'1. Lists'!$AE:$AF,2,FALSE),"")</f>
        <v>11</v>
      </c>
      <c r="V42" s="129" t="s">
        <v>355</v>
      </c>
      <c r="W42" s="130"/>
      <c r="X42" s="131" t="str">
        <f>IF(W42&gt;0,VLOOKUP($W42,#REF!,4,FALSE),"")</f>
        <v/>
      </c>
      <c r="Y42" s="78" t="str">
        <f>IF(W42&gt;0,VLOOKUP($W42,#REF!,10,FALSE),"")</f>
        <v/>
      </c>
      <c r="Z42" s="132" t="s">
        <v>819</v>
      </c>
      <c r="AA42" s="132" t="s">
        <v>464</v>
      </c>
      <c r="AB42" s="66">
        <f>IF(LEN(AC42)&gt;0,VLOOKUP(AC42,'1. Lists'!$AV$3:$AX$7,3,FALSE),"")</f>
        <v>2</v>
      </c>
      <c r="AC42" s="133" t="s">
        <v>13</v>
      </c>
      <c r="AD42" s="66">
        <f>IF(LEN(AE42)&gt;0,VLOOKUP(AE42,'1. Lists'!$AZ$3:$BB$7,3,FALSE),"")</f>
        <v>1</v>
      </c>
      <c r="AE42" s="122" t="s">
        <v>15</v>
      </c>
      <c r="AF42" s="123"/>
      <c r="AG42" s="123"/>
      <c r="AH42" s="66">
        <f>IF(LEN(AI42)&gt;0,VLOOKUP(AI42,'1. Lists'!$BD$3:$BF$15,3,FALSE),"")</f>
        <v>5</v>
      </c>
      <c r="AI42" s="127" t="s">
        <v>340</v>
      </c>
      <c r="AJ42" s="134" t="s">
        <v>68</v>
      </c>
      <c r="AK42" s="135" t="s">
        <v>461</v>
      </c>
      <c r="AL42" s="125" t="s">
        <v>426</v>
      </c>
      <c r="AM42" s="136">
        <v>4</v>
      </c>
      <c r="AN42" s="123"/>
      <c r="AO42" s="136" t="s">
        <v>567</v>
      </c>
      <c r="AP42" s="137" t="s">
        <v>820</v>
      </c>
      <c r="AQ42" s="123"/>
      <c r="AR42" s="123"/>
      <c r="AS42" s="123"/>
      <c r="AT42" s="123"/>
      <c r="AU42" s="135" t="s">
        <v>460</v>
      </c>
      <c r="AV42" s="80" t="str">
        <f>IF(LEN(AW42)&gt;0,VLOOKUP(AW42,'1. Lists'!$BQ:$BR,2,FALSE),"")</f>
        <v>ACC</v>
      </c>
      <c r="AW42" s="133" t="s">
        <v>14</v>
      </c>
      <c r="AX42" s="80">
        <f>IF(LEN(AY42)&gt;0,VLOOKUP(AY42,'1. Lists'!$BU$3:$BW$5,3,FALSE),"")</f>
        <v>3</v>
      </c>
      <c r="AY42" s="138" t="s">
        <v>83</v>
      </c>
      <c r="AZ42" s="139">
        <v>6</v>
      </c>
      <c r="BA42" s="82">
        <f t="shared" si="0"/>
        <v>6</v>
      </c>
      <c r="BC42" s="141">
        <v>0</v>
      </c>
      <c r="BD42" s="141">
        <v>1</v>
      </c>
      <c r="BE42" s="141">
        <v>0</v>
      </c>
      <c r="BF42" s="141">
        <v>1</v>
      </c>
      <c r="BG42" s="141">
        <v>1</v>
      </c>
      <c r="BH42" s="141">
        <v>0</v>
      </c>
      <c r="BI42" s="141">
        <v>0</v>
      </c>
      <c r="BJ42" s="141">
        <v>1</v>
      </c>
      <c r="BK42" s="141">
        <v>0</v>
      </c>
      <c r="BL42" s="141">
        <v>1</v>
      </c>
      <c r="BM42" s="141">
        <v>0</v>
      </c>
      <c r="BN42" s="141">
        <v>1</v>
      </c>
      <c r="BP42" s="66">
        <f t="shared" si="1"/>
        <v>1</v>
      </c>
      <c r="BQ42" s="66">
        <f t="shared" si="2"/>
        <v>6</v>
      </c>
      <c r="BR42" s="66">
        <f t="shared" si="3"/>
        <v>1</v>
      </c>
      <c r="BS42" s="66">
        <v>0</v>
      </c>
      <c r="BU42" s="66">
        <f t="shared" si="4"/>
        <v>1</v>
      </c>
      <c r="BV42" s="66">
        <f t="shared" si="5"/>
        <v>1</v>
      </c>
      <c r="BW42" s="66">
        <f t="shared" si="6"/>
        <v>1</v>
      </c>
    </row>
    <row r="43" spans="1:75" ht="75" x14ac:dyDescent="0.25">
      <c r="A43" s="92">
        <f t="shared" si="7"/>
        <v>40</v>
      </c>
      <c r="B43" s="66">
        <f>IF(LEN(D43)&gt;0,VLOOKUP(D43,'1. Lists'!$E$3:$J$52,6,FALSE),"")</f>
        <v>5</v>
      </c>
      <c r="C43" s="66" t="str">
        <f>IF(LEN(D43)&gt;0,VLOOKUP(D43,'1. Lists'!$E$3:$F$52,2,FALSE),"")</f>
        <v>Office of the Municipal Manager</v>
      </c>
      <c r="D43" s="120" t="s">
        <v>186</v>
      </c>
      <c r="E43" s="121"/>
      <c r="F43" s="65" t="str">
        <f>IF(E43&gt;0,VLOOKUP(E43,'2. Top Layer'!$A:$C,3,FALSE),"")</f>
        <v/>
      </c>
      <c r="G43" s="65" t="str">
        <f>IF(E43&gt;0,VLOOKUP(E43,'2. Top Layer'!$A:$T,17,FALSE),"")</f>
        <v/>
      </c>
      <c r="H43" s="66">
        <f>IF(LEN(I43)&gt;0,VLOOKUP(I43,'1. Lists'!$T:$U,2,FALSE),"")</f>
        <v>69</v>
      </c>
      <c r="I43" s="122" t="s">
        <v>438</v>
      </c>
      <c r="J43" s="123"/>
      <c r="K43" s="66">
        <f>IF(LEN(L43)&gt;0,VLOOKUP(L43,'1. Lists'!$AK:$AL,2,FALSE),"")</f>
        <v>5</v>
      </c>
      <c r="L43" s="124" t="s">
        <v>155</v>
      </c>
      <c r="M43" s="70">
        <f>IF(LEN(N43)&gt;0,VLOOKUP(N43,'1. Lists'!$AN:$AQ,4,FALSE),"")</f>
        <v>2</v>
      </c>
      <c r="N43" s="125" t="s">
        <v>382</v>
      </c>
      <c r="O43" s="66">
        <f>IF(LEN(P43)&gt;0,VLOOKUP(P43,'1. Lists'!$AA:$AC,3,FALSE),"")</f>
        <v>1</v>
      </c>
      <c r="P43" s="126" t="s">
        <v>38</v>
      </c>
      <c r="Q43" s="73">
        <f>IF(LEN(R43)&gt;0,VLOOKUP(R43,'1. Lists'!$W:$Y,3,FALSE),"")</f>
        <v>1</v>
      </c>
      <c r="R43" s="127" t="s">
        <v>169</v>
      </c>
      <c r="S43" s="73">
        <f>IF(LEN(T43)&gt;0,VLOOKUP(T43,'1. Lists'!$AH:$AI,2,FALSE),"")</f>
        <v>14</v>
      </c>
      <c r="T43" s="128" t="s">
        <v>399</v>
      </c>
      <c r="U43" s="76">
        <f>IF(LEN(V43)&gt;0,VLOOKUP(V43,'1. Lists'!$AE:$AF,2,FALSE),"")</f>
        <v>11</v>
      </c>
      <c r="V43" s="129" t="s">
        <v>355</v>
      </c>
      <c r="W43" s="130"/>
      <c r="X43" s="131" t="str">
        <f>IF(W43&gt;0,VLOOKUP($W43,#REF!,4,FALSE),"")</f>
        <v/>
      </c>
      <c r="Y43" s="78" t="str">
        <f>IF(W43&gt;0,VLOOKUP($W43,#REF!,10,FALSE),"")</f>
        <v/>
      </c>
      <c r="Z43" s="132" t="s">
        <v>476</v>
      </c>
      <c r="AA43" s="132" t="s">
        <v>464</v>
      </c>
      <c r="AB43" s="66">
        <f>IF(LEN(AC43)&gt;0,VLOOKUP(AC43,'1. Lists'!$AV$3:$AX$7,3,FALSE),"")</f>
        <v>4</v>
      </c>
      <c r="AC43" s="133" t="s">
        <v>52</v>
      </c>
      <c r="AD43" s="66">
        <f>IF(LEN(AE43)&gt;0,VLOOKUP(AE43,'1. Lists'!$AZ$3:$BB$7,3,FALSE),"")</f>
        <v>2</v>
      </c>
      <c r="AE43" s="122" t="s">
        <v>9</v>
      </c>
      <c r="AF43" s="123"/>
      <c r="AG43" s="123"/>
      <c r="AH43" s="66">
        <f>IF(LEN(AI43)&gt;0,VLOOKUP(AI43,'1. Lists'!$BD$3:$BF$15,3,FALSE),"")</f>
        <v>5</v>
      </c>
      <c r="AI43" s="127" t="s">
        <v>340</v>
      </c>
      <c r="AJ43" s="134" t="s">
        <v>68</v>
      </c>
      <c r="AK43" s="135" t="s">
        <v>461</v>
      </c>
      <c r="AL43" s="125" t="s">
        <v>426</v>
      </c>
      <c r="AM43" s="136">
        <v>4</v>
      </c>
      <c r="AN43" s="123"/>
      <c r="AO43" s="136" t="s">
        <v>567</v>
      </c>
      <c r="AP43" s="137" t="s">
        <v>846</v>
      </c>
      <c r="AQ43" s="123"/>
      <c r="AR43" s="123"/>
      <c r="AS43" s="123"/>
      <c r="AT43" s="123"/>
      <c r="AU43" s="135" t="s">
        <v>460</v>
      </c>
      <c r="AV43" s="80" t="str">
        <f>IF(LEN(AW43)&gt;0,VLOOKUP(AW43,'1. Lists'!$BQ:$BR,2,FALSE),"")</f>
        <v>ACC</v>
      </c>
      <c r="AW43" s="133" t="s">
        <v>14</v>
      </c>
      <c r="AX43" s="80">
        <f>IF(LEN(AY43)&gt;0,VLOOKUP(AY43,'1. Lists'!$BU$3:$BW$5,3,FALSE),"")</f>
        <v>3</v>
      </c>
      <c r="AY43" s="138" t="s">
        <v>83</v>
      </c>
      <c r="AZ43" s="139">
        <v>4</v>
      </c>
      <c r="BA43" s="82">
        <f t="shared" si="0"/>
        <v>4</v>
      </c>
      <c r="BC43" s="141">
        <v>0</v>
      </c>
      <c r="BD43" s="141">
        <v>1</v>
      </c>
      <c r="BE43" s="141">
        <v>0</v>
      </c>
      <c r="BF43" s="141">
        <v>0</v>
      </c>
      <c r="BG43" s="141">
        <v>1</v>
      </c>
      <c r="BH43" s="141">
        <v>0</v>
      </c>
      <c r="BI43" s="141">
        <v>0</v>
      </c>
      <c r="BJ43" s="141">
        <v>1</v>
      </c>
      <c r="BK43" s="141">
        <v>0</v>
      </c>
      <c r="BL43" s="141">
        <v>0</v>
      </c>
      <c r="BM43" s="141">
        <v>1</v>
      </c>
      <c r="BN43" s="141">
        <v>0</v>
      </c>
      <c r="BP43" s="66">
        <f t="shared" si="1"/>
        <v>1</v>
      </c>
      <c r="BQ43" s="66">
        <f t="shared" si="2"/>
        <v>4</v>
      </c>
      <c r="BR43" s="66">
        <f t="shared" si="3"/>
        <v>1</v>
      </c>
      <c r="BS43" s="66">
        <v>0</v>
      </c>
      <c r="BU43" s="66">
        <f t="shared" si="4"/>
        <v>1</v>
      </c>
      <c r="BV43" s="66">
        <f t="shared" si="5"/>
        <v>1</v>
      </c>
      <c r="BW43" s="66">
        <f t="shared" si="6"/>
        <v>1</v>
      </c>
    </row>
    <row r="44" spans="1:75" ht="75" x14ac:dyDescent="0.25">
      <c r="A44" s="92">
        <f t="shared" si="7"/>
        <v>41</v>
      </c>
      <c r="B44" s="66">
        <f>IF(LEN(D44)&gt;0,VLOOKUP(D44,'1. Lists'!$E$3:$J$52,6,FALSE),"")</f>
        <v>5</v>
      </c>
      <c r="C44" s="66" t="str">
        <f>IF(LEN(D44)&gt;0,VLOOKUP(D44,'1. Lists'!$E$3:$F$52,2,FALSE),"")</f>
        <v>Office of the Municipal Manager</v>
      </c>
      <c r="D44" s="120" t="s">
        <v>186</v>
      </c>
      <c r="E44" s="121"/>
      <c r="F44" s="65" t="str">
        <f>IF(E44&gt;0,VLOOKUP(E44,'2. Top Layer'!$A:$C,3,FALSE),"")</f>
        <v/>
      </c>
      <c r="G44" s="65" t="str">
        <f>IF(E44&gt;0,VLOOKUP(E44,'2. Top Layer'!$A:$T,17,FALSE),"")</f>
        <v/>
      </c>
      <c r="H44" s="66">
        <f>IF(LEN(I44)&gt;0,VLOOKUP(I44,'1. Lists'!$T:$U,2,FALSE),"")</f>
        <v>69</v>
      </c>
      <c r="I44" s="122" t="s">
        <v>438</v>
      </c>
      <c r="J44" s="123"/>
      <c r="K44" s="66">
        <f>IF(LEN(L44)&gt;0,VLOOKUP(L44,'1. Lists'!$AK:$AL,2,FALSE),"")</f>
        <v>5</v>
      </c>
      <c r="L44" s="124" t="s">
        <v>155</v>
      </c>
      <c r="M44" s="70">
        <f>IF(LEN(N44)&gt;0,VLOOKUP(N44,'1. Lists'!$AN:$AQ,4,FALSE),"")</f>
        <v>2</v>
      </c>
      <c r="N44" s="125" t="s">
        <v>382</v>
      </c>
      <c r="O44" s="66">
        <f>IF(LEN(P44)&gt;0,VLOOKUP(P44,'1. Lists'!$AA:$AC,3,FALSE),"")</f>
        <v>1</v>
      </c>
      <c r="P44" s="126" t="s">
        <v>38</v>
      </c>
      <c r="Q44" s="73">
        <f>IF(LEN(R44)&gt;0,VLOOKUP(R44,'1. Lists'!$W:$Y,3,FALSE),"")</f>
        <v>1</v>
      </c>
      <c r="R44" s="127" t="s">
        <v>169</v>
      </c>
      <c r="S44" s="73">
        <f>IF(LEN(T44)&gt;0,VLOOKUP(T44,'1. Lists'!$AH:$AI,2,FALSE),"")</f>
        <v>11</v>
      </c>
      <c r="T44" s="128" t="s">
        <v>396</v>
      </c>
      <c r="U44" s="76">
        <f>IF(LEN(V44)&gt;0,VLOOKUP(V44,'1. Lists'!$AE:$AF,2,FALSE),"")</f>
        <v>11</v>
      </c>
      <c r="V44" s="129" t="s">
        <v>355</v>
      </c>
      <c r="W44" s="130"/>
      <c r="X44" s="131" t="str">
        <f>IF(W44&gt;0,VLOOKUP($W44,#REF!,4,FALSE),"")</f>
        <v/>
      </c>
      <c r="Y44" s="78" t="str">
        <f>IF(W44&gt;0,VLOOKUP($W44,#REF!,10,FALSE),"")</f>
        <v/>
      </c>
      <c r="Z44" s="132" t="s">
        <v>821</v>
      </c>
      <c r="AA44" s="132" t="s">
        <v>477</v>
      </c>
      <c r="AB44" s="66">
        <f>IF(LEN(AC44)&gt;0,VLOOKUP(AC44,'1. Lists'!$AV$3:$AX$7,3,FALSE),"")</f>
        <v>4</v>
      </c>
      <c r="AC44" s="133" t="s">
        <v>52</v>
      </c>
      <c r="AD44" s="66">
        <f>IF(LEN(AE44)&gt;0,VLOOKUP(AE44,'1. Lists'!$AZ$3:$BB$7,3,FALSE),"")</f>
        <v>1</v>
      </c>
      <c r="AE44" s="122" t="s">
        <v>15</v>
      </c>
      <c r="AF44" s="123"/>
      <c r="AG44" s="123"/>
      <c r="AH44" s="66">
        <f>IF(LEN(AI44)&gt;0,VLOOKUP(AI44,'1. Lists'!$BD$3:$BF$15,3,FALSE),"")</f>
        <v>5</v>
      </c>
      <c r="AI44" s="127" t="s">
        <v>340</v>
      </c>
      <c r="AJ44" s="134" t="s">
        <v>68</v>
      </c>
      <c r="AK44" s="135" t="s">
        <v>461</v>
      </c>
      <c r="AL44" s="125" t="s">
        <v>426</v>
      </c>
      <c r="AM44" s="136">
        <v>8</v>
      </c>
      <c r="AN44" s="123"/>
      <c r="AO44" s="136" t="s">
        <v>582</v>
      </c>
      <c r="AP44" s="137" t="s">
        <v>583</v>
      </c>
      <c r="AQ44" s="123"/>
      <c r="AR44" s="123"/>
      <c r="AS44" s="123"/>
      <c r="AT44" s="123"/>
      <c r="AU44" s="135" t="s">
        <v>460</v>
      </c>
      <c r="AV44" s="80" t="str">
        <f>IF(LEN(AW44)&gt;0,VLOOKUP(AW44,'1. Lists'!$BQ:$BR,2,FALSE),"")</f>
        <v>ACC</v>
      </c>
      <c r="AW44" s="133" t="s">
        <v>14</v>
      </c>
      <c r="AX44" s="80">
        <f>IF(LEN(AY44)&gt;0,VLOOKUP(AY44,'1. Lists'!$BU$3:$BW$5,3,FALSE),"")</f>
        <v>3</v>
      </c>
      <c r="AY44" s="138" t="s">
        <v>83</v>
      </c>
      <c r="AZ44" s="139">
        <v>8</v>
      </c>
      <c r="BA44" s="82">
        <f t="shared" si="0"/>
        <v>8</v>
      </c>
      <c r="BC44" s="141">
        <v>0</v>
      </c>
      <c r="BD44" s="141">
        <v>1</v>
      </c>
      <c r="BE44" s="141">
        <v>1</v>
      </c>
      <c r="BF44" s="141">
        <v>1</v>
      </c>
      <c r="BG44" s="141">
        <v>1</v>
      </c>
      <c r="BH44" s="141">
        <v>0</v>
      </c>
      <c r="BI44" s="141">
        <v>0</v>
      </c>
      <c r="BJ44" s="141">
        <v>1</v>
      </c>
      <c r="BK44" s="141">
        <v>1</v>
      </c>
      <c r="BL44" s="141">
        <v>1</v>
      </c>
      <c r="BM44" s="141">
        <v>1</v>
      </c>
      <c r="BN44" s="141">
        <v>0</v>
      </c>
      <c r="BP44" s="66">
        <f t="shared" si="1"/>
        <v>1</v>
      </c>
      <c r="BQ44" s="66">
        <f t="shared" si="2"/>
        <v>8</v>
      </c>
      <c r="BR44" s="66">
        <f t="shared" si="3"/>
        <v>1</v>
      </c>
      <c r="BS44" s="66">
        <v>0</v>
      </c>
      <c r="BU44" s="66">
        <f t="shared" si="4"/>
        <v>1</v>
      </c>
      <c r="BV44" s="66">
        <f t="shared" si="5"/>
        <v>1</v>
      </c>
      <c r="BW44" s="66">
        <f t="shared" si="6"/>
        <v>1</v>
      </c>
    </row>
    <row r="45" spans="1:75" ht="75" x14ac:dyDescent="0.25">
      <c r="A45" s="92">
        <f t="shared" si="7"/>
        <v>42</v>
      </c>
      <c r="B45" s="66">
        <f>IF(LEN(D45)&gt;0,VLOOKUP(D45,'1. Lists'!$E$3:$J$52,6,FALSE),"")</f>
        <v>5</v>
      </c>
      <c r="C45" s="66" t="str">
        <f>IF(LEN(D45)&gt;0,VLOOKUP(D45,'1. Lists'!$E$3:$F$52,2,FALSE),"")</f>
        <v>Office of the Municipal Manager</v>
      </c>
      <c r="D45" s="120" t="s">
        <v>186</v>
      </c>
      <c r="E45" s="121"/>
      <c r="F45" s="65" t="str">
        <f>IF(E45&gt;0,VLOOKUP(E45,'2. Top Layer'!$A:$C,3,FALSE),"")</f>
        <v/>
      </c>
      <c r="G45" s="65" t="str">
        <f>IF(E45&gt;0,VLOOKUP(E45,'2. Top Layer'!$A:$T,17,FALSE),"")</f>
        <v/>
      </c>
      <c r="H45" s="66">
        <f>IF(LEN(I45)&gt;0,VLOOKUP(I45,'1. Lists'!$T:$U,2,FALSE),"")</f>
        <v>69</v>
      </c>
      <c r="I45" s="122" t="s">
        <v>438</v>
      </c>
      <c r="J45" s="123"/>
      <c r="K45" s="66">
        <f>IF(LEN(L45)&gt;0,VLOOKUP(L45,'1. Lists'!$AK:$AL,2,FALSE),"")</f>
        <v>5</v>
      </c>
      <c r="L45" s="124" t="s">
        <v>155</v>
      </c>
      <c r="M45" s="70">
        <f>IF(LEN(N45)&gt;0,VLOOKUP(N45,'1. Lists'!$AN:$AQ,4,FALSE),"")</f>
        <v>2</v>
      </c>
      <c r="N45" s="125" t="s">
        <v>382</v>
      </c>
      <c r="O45" s="66">
        <f>IF(LEN(P45)&gt;0,VLOOKUP(P45,'1. Lists'!$AA:$AC,3,FALSE),"")</f>
        <v>5</v>
      </c>
      <c r="P45" s="126" t="s">
        <v>42</v>
      </c>
      <c r="Q45" s="73">
        <f>IF(LEN(R45)&gt;0,VLOOKUP(R45,'1. Lists'!$W:$Y,3,FALSE),"")</f>
        <v>1</v>
      </c>
      <c r="R45" s="127" t="s">
        <v>169</v>
      </c>
      <c r="S45" s="73">
        <f>IF(LEN(T45)&gt;0,VLOOKUP(T45,'1. Lists'!$AH:$AI,2,FALSE),"")</f>
        <v>11</v>
      </c>
      <c r="T45" s="128" t="s">
        <v>396</v>
      </c>
      <c r="U45" s="76">
        <f>IF(LEN(V45)&gt;0,VLOOKUP(V45,'1. Lists'!$AE:$AF,2,FALSE),"")</f>
        <v>11</v>
      </c>
      <c r="V45" s="129" t="s">
        <v>355</v>
      </c>
      <c r="W45" s="130"/>
      <c r="X45" s="131" t="str">
        <f>IF(W45&gt;0,VLOOKUP($W45,#REF!,4,FALSE),"")</f>
        <v/>
      </c>
      <c r="Y45" s="78" t="str">
        <f>IF(W45&gt;0,VLOOKUP($W45,#REF!,10,FALSE),"")</f>
        <v/>
      </c>
      <c r="Z45" s="132" t="s">
        <v>465</v>
      </c>
      <c r="AA45" s="132" t="s">
        <v>466</v>
      </c>
      <c r="AB45" s="66">
        <f>IF(LEN(AC45)&gt;0,VLOOKUP(AC45,'1. Lists'!$AV$3:$AX$7,3,FALSE),"")</f>
        <v>3</v>
      </c>
      <c r="AC45" s="133" t="s">
        <v>4</v>
      </c>
      <c r="AD45" s="66">
        <f>IF(LEN(AE45)&gt;0,VLOOKUP(AE45,'1. Lists'!$AZ$3:$BB$7,3,FALSE),"")</f>
        <v>2</v>
      </c>
      <c r="AE45" s="122" t="s">
        <v>9</v>
      </c>
      <c r="AF45" s="123"/>
      <c r="AG45" s="123"/>
      <c r="AH45" s="66">
        <f>IF(LEN(AI45)&gt;0,VLOOKUP(AI45,'1. Lists'!$BD$3:$BF$15,3,FALSE),"")</f>
        <v>5</v>
      </c>
      <c r="AI45" s="127" t="s">
        <v>340</v>
      </c>
      <c r="AJ45" s="134" t="s">
        <v>68</v>
      </c>
      <c r="AK45" s="135" t="s">
        <v>461</v>
      </c>
      <c r="AL45" s="125" t="s">
        <v>426</v>
      </c>
      <c r="AM45" s="145">
        <v>1</v>
      </c>
      <c r="AN45" s="123"/>
      <c r="AO45" s="136" t="s">
        <v>569</v>
      </c>
      <c r="AP45" s="137" t="s">
        <v>570</v>
      </c>
      <c r="AQ45" s="123"/>
      <c r="AR45" s="123"/>
      <c r="AS45" s="123"/>
      <c r="AT45" s="123"/>
      <c r="AU45" s="135" t="s">
        <v>460</v>
      </c>
      <c r="AV45" s="80" t="str">
        <f>IF(LEN(AW45)&gt;0,VLOOKUP(AW45,'1. Lists'!$BQ:$BR,2,FALSE),"")</f>
        <v>CO</v>
      </c>
      <c r="AW45" s="133" t="s">
        <v>12</v>
      </c>
      <c r="AX45" s="80">
        <f>IF(LEN(AY45)&gt;0,VLOOKUP(AY45,'1. Lists'!$BU$3:$BW$5,3,FALSE),"")</f>
        <v>2</v>
      </c>
      <c r="AY45" s="138" t="s">
        <v>82</v>
      </c>
      <c r="AZ45" s="139">
        <v>100</v>
      </c>
      <c r="BA45" s="82">
        <f t="shared" si="0"/>
        <v>100</v>
      </c>
      <c r="BC45" s="141">
        <v>0</v>
      </c>
      <c r="BD45" s="141">
        <v>0</v>
      </c>
      <c r="BE45" s="141">
        <v>0</v>
      </c>
      <c r="BF45" s="141">
        <v>0</v>
      </c>
      <c r="BG45" s="141">
        <v>0</v>
      </c>
      <c r="BH45" s="141">
        <v>0</v>
      </c>
      <c r="BI45" s="141">
        <v>0</v>
      </c>
      <c r="BJ45" s="141">
        <v>0</v>
      </c>
      <c r="BK45" s="141">
        <v>0</v>
      </c>
      <c r="BL45" s="141">
        <v>0</v>
      </c>
      <c r="BM45" s="141">
        <v>0</v>
      </c>
      <c r="BN45" s="141">
        <v>100</v>
      </c>
      <c r="BP45" s="66">
        <f t="shared" si="1"/>
        <v>100</v>
      </c>
      <c r="BQ45" s="66">
        <f t="shared" si="2"/>
        <v>100</v>
      </c>
      <c r="BR45" s="66">
        <f t="shared" si="3"/>
        <v>100</v>
      </c>
      <c r="BS45" s="66">
        <v>0</v>
      </c>
      <c r="BU45" s="66">
        <f t="shared" si="4"/>
        <v>100</v>
      </c>
      <c r="BV45" s="66">
        <f t="shared" si="5"/>
        <v>100</v>
      </c>
      <c r="BW45" s="66">
        <f t="shared" si="6"/>
        <v>100</v>
      </c>
    </row>
    <row r="46" spans="1:75" ht="75" x14ac:dyDescent="0.25">
      <c r="A46" s="92">
        <f t="shared" si="7"/>
        <v>43</v>
      </c>
      <c r="B46" s="66">
        <f>IF(LEN(D46)&gt;0,VLOOKUP(D46,'1. Lists'!$E$3:$J$52,6,FALSE),"")</f>
        <v>5</v>
      </c>
      <c r="C46" s="66" t="str">
        <f>IF(LEN(D46)&gt;0,VLOOKUP(D46,'1. Lists'!$E$3:$F$52,2,FALSE),"")</f>
        <v>Office of the Municipal Manager</v>
      </c>
      <c r="D46" s="120" t="s">
        <v>186</v>
      </c>
      <c r="E46" s="121"/>
      <c r="F46" s="65" t="str">
        <f>IF(E46&gt;0,VLOOKUP(E46,'2. Top Layer'!$A:$C,3,FALSE),"")</f>
        <v/>
      </c>
      <c r="G46" s="65" t="str">
        <f>IF(E46&gt;0,VLOOKUP(E46,'2. Top Layer'!$A:$T,17,FALSE),"")</f>
        <v/>
      </c>
      <c r="H46" s="66">
        <f>IF(LEN(I46)&gt;0,VLOOKUP(I46,'1. Lists'!$T:$U,2,FALSE),"")</f>
        <v>64</v>
      </c>
      <c r="I46" s="122" t="s">
        <v>435</v>
      </c>
      <c r="J46" s="123"/>
      <c r="K46" s="66">
        <f>IF(LEN(L46)&gt;0,VLOOKUP(L46,'1. Lists'!$AK:$AL,2,FALSE),"")</f>
        <v>9</v>
      </c>
      <c r="L46" s="124" t="s">
        <v>159</v>
      </c>
      <c r="M46" s="70">
        <f>IF(LEN(N46)&gt;0,VLOOKUP(N46,'1. Lists'!$AN:$AQ,4,FALSE),"")</f>
        <v>2</v>
      </c>
      <c r="N46" s="125" t="s">
        <v>382</v>
      </c>
      <c r="O46" s="66">
        <f>IF(LEN(P46)&gt;0,VLOOKUP(P46,'1. Lists'!$AA:$AC,3,FALSE),"")</f>
        <v>5</v>
      </c>
      <c r="P46" s="134" t="s">
        <v>42</v>
      </c>
      <c r="Q46" s="73">
        <f>IF(LEN(R46)&gt;0,VLOOKUP(R46,'1. Lists'!$W:$Y,3,FALSE),"")</f>
        <v>1</v>
      </c>
      <c r="R46" s="127" t="s">
        <v>169</v>
      </c>
      <c r="S46" s="73">
        <f>IF(LEN(T46)&gt;0,VLOOKUP(T46,'1. Lists'!$AH:$AI,2,FALSE),"")</f>
        <v>11</v>
      </c>
      <c r="T46" s="128" t="s">
        <v>396</v>
      </c>
      <c r="U46" s="76">
        <f>IF(LEN(V46)&gt;0,VLOOKUP(V46,'1. Lists'!$AE:$AF,2,FALSE),"")</f>
        <v>11</v>
      </c>
      <c r="V46" s="129" t="s">
        <v>355</v>
      </c>
      <c r="W46" s="130"/>
      <c r="X46" s="131" t="str">
        <f>IF(W46&gt;0,VLOOKUP($W46,#REF!,4,FALSE),"")</f>
        <v/>
      </c>
      <c r="Y46" s="78" t="str">
        <f>IF(W46&gt;0,VLOOKUP($W46,#REF!,10,FALSE),"")</f>
        <v/>
      </c>
      <c r="Z46" s="150" t="s">
        <v>791</v>
      </c>
      <c r="AA46" s="150" t="s">
        <v>468</v>
      </c>
      <c r="AB46" s="66">
        <f>IF(LEN(AC46)&gt;0,VLOOKUP(AC46,'1. Lists'!$AV$3:$AX$7,3,FALSE),"")</f>
        <v>2</v>
      </c>
      <c r="AC46" s="133" t="s">
        <v>13</v>
      </c>
      <c r="AD46" s="66">
        <f>IF(LEN(AE46)&gt;0,VLOOKUP(AE46,'1. Lists'!$AZ$3:$BB$7,3,FALSE),"")</f>
        <v>2</v>
      </c>
      <c r="AE46" s="122" t="s">
        <v>9</v>
      </c>
      <c r="AF46" s="123"/>
      <c r="AG46" s="123"/>
      <c r="AH46" s="66">
        <f>IF(LEN(AI46)&gt;0,VLOOKUP(AI46,'1. Lists'!$BD$3:$BF$15,3,FALSE),"")</f>
        <v>5</v>
      </c>
      <c r="AI46" s="127" t="s">
        <v>340</v>
      </c>
      <c r="AJ46" s="134" t="s">
        <v>68</v>
      </c>
      <c r="AK46" s="135" t="s">
        <v>461</v>
      </c>
      <c r="AL46" s="125" t="s">
        <v>426</v>
      </c>
      <c r="AM46" s="136">
        <v>10</v>
      </c>
      <c r="AN46" s="123"/>
      <c r="AO46" s="136" t="s">
        <v>601</v>
      </c>
      <c r="AP46" s="137" t="s">
        <v>847</v>
      </c>
      <c r="AQ46" s="123"/>
      <c r="AR46" s="123"/>
      <c r="AS46" s="123"/>
      <c r="AT46" s="123"/>
      <c r="AU46" s="135" t="s">
        <v>460</v>
      </c>
      <c r="AV46" s="80" t="str">
        <f>IF(LEN(AW46)&gt;0,VLOOKUP(AW46,'1. Lists'!$BQ:$BR,2,FALSE),"")</f>
        <v>ACC</v>
      </c>
      <c r="AW46" s="120" t="s">
        <v>14</v>
      </c>
      <c r="AX46" s="80">
        <f>IF(LEN(AY46)&gt;0,VLOOKUP(AY46,'1. Lists'!$BU$3:$BW$5,3,FALSE),"")</f>
        <v>3</v>
      </c>
      <c r="AY46" s="138" t="s">
        <v>83</v>
      </c>
      <c r="AZ46" s="139">
        <v>12</v>
      </c>
      <c r="BA46" s="82">
        <f t="shared" si="0"/>
        <v>12</v>
      </c>
      <c r="BC46" s="141">
        <v>1</v>
      </c>
      <c r="BD46" s="141">
        <v>1</v>
      </c>
      <c r="BE46" s="141">
        <v>1</v>
      </c>
      <c r="BF46" s="141">
        <v>1</v>
      </c>
      <c r="BG46" s="141">
        <v>1</v>
      </c>
      <c r="BH46" s="141">
        <v>1</v>
      </c>
      <c r="BI46" s="141">
        <v>1</v>
      </c>
      <c r="BJ46" s="141">
        <v>1</v>
      </c>
      <c r="BK46" s="141">
        <v>1</v>
      </c>
      <c r="BL46" s="141">
        <v>1</v>
      </c>
      <c r="BM46" s="141">
        <v>1</v>
      </c>
      <c r="BN46" s="141">
        <v>1</v>
      </c>
      <c r="BP46" s="66">
        <f t="shared" si="1"/>
        <v>1</v>
      </c>
      <c r="BQ46" s="66">
        <f t="shared" si="2"/>
        <v>12</v>
      </c>
      <c r="BR46" s="66">
        <f t="shared" si="3"/>
        <v>1</v>
      </c>
      <c r="BS46" s="66">
        <v>0</v>
      </c>
      <c r="BU46" s="66">
        <f t="shared" si="4"/>
        <v>1</v>
      </c>
      <c r="BV46" s="66">
        <f t="shared" si="5"/>
        <v>1</v>
      </c>
      <c r="BW46" s="66">
        <f t="shared" si="6"/>
        <v>1</v>
      </c>
    </row>
    <row r="47" spans="1:75" ht="75" x14ac:dyDescent="0.25">
      <c r="A47" s="92">
        <f t="shared" si="7"/>
        <v>44</v>
      </c>
      <c r="B47" s="66">
        <f>IF(LEN(D47)&gt;0,VLOOKUP(D47,'1. Lists'!$E$3:$J$52,6,FALSE),"")</f>
        <v>5</v>
      </c>
      <c r="C47" s="66" t="str">
        <f>IF(LEN(D47)&gt;0,VLOOKUP(D47,'1. Lists'!$E$3:$F$52,2,FALSE),"")</f>
        <v>Office of the Municipal Manager</v>
      </c>
      <c r="D47" s="120" t="s">
        <v>186</v>
      </c>
      <c r="E47" s="121"/>
      <c r="F47" s="65"/>
      <c r="H47" s="66">
        <f>IF(LEN(I47)&gt;0,VLOOKUP(I47,'1. Lists'!$T:$U,2,FALSE),"")</f>
        <v>67</v>
      </c>
      <c r="I47" s="122" t="s">
        <v>437</v>
      </c>
      <c r="J47" s="123"/>
      <c r="K47" s="66">
        <f>IF(LEN(L47)&gt;0,VLOOKUP(L47,'1. Lists'!$AK:$AL,2,FALSE),"")</f>
        <v>9</v>
      </c>
      <c r="L47" s="124" t="s">
        <v>159</v>
      </c>
      <c r="M47" s="70">
        <f>IF(LEN(N47)&gt;0,VLOOKUP(N47,'1. Lists'!$AN:$AQ,4,FALSE),"")</f>
        <v>2</v>
      </c>
      <c r="N47" s="125" t="s">
        <v>382</v>
      </c>
      <c r="O47" s="66">
        <f>IF(LEN(P47)&gt;0,VLOOKUP(P47,'1. Lists'!$AA:$AC,3,FALSE),"")</f>
        <v>4</v>
      </c>
      <c r="P47" s="134" t="s">
        <v>41</v>
      </c>
      <c r="Q47" s="73">
        <f>IF(LEN(R47)&gt;0,VLOOKUP(R47,'1. Lists'!$W:$Y,3,FALSE),"")</f>
        <v>1</v>
      </c>
      <c r="R47" s="127" t="s">
        <v>169</v>
      </c>
      <c r="S47" s="73">
        <f>IF(LEN(T47)&gt;0,VLOOKUP(T47,'1. Lists'!$AH:$AI,2,FALSE),"")</f>
        <v>11</v>
      </c>
      <c r="T47" s="128" t="s">
        <v>396</v>
      </c>
      <c r="U47" s="76">
        <f>IF(LEN(V47)&gt;0,VLOOKUP(V47,'1. Lists'!$AE:$AF,2,FALSE),"")</f>
        <v>11</v>
      </c>
      <c r="V47" s="129" t="s">
        <v>355</v>
      </c>
      <c r="W47" s="130"/>
      <c r="X47" s="131"/>
      <c r="Z47" s="150" t="s">
        <v>792</v>
      </c>
      <c r="AA47" s="150" t="s">
        <v>739</v>
      </c>
      <c r="AB47" s="66">
        <f>IF(LEN(AC47)&gt;0,VLOOKUP(AC47,'1. Lists'!$AV$3:$AX$7,3,FALSE),"")</f>
        <v>2</v>
      </c>
      <c r="AC47" s="133" t="s">
        <v>13</v>
      </c>
      <c r="AD47" s="66">
        <f>IF(LEN(AE47)&gt;0,VLOOKUP(AE47,'1. Lists'!$AZ$3:$BB$7,3,FALSE),"")</f>
        <v>2</v>
      </c>
      <c r="AE47" s="122" t="s">
        <v>9</v>
      </c>
      <c r="AF47" s="123"/>
      <c r="AG47" s="123"/>
      <c r="AH47" s="66">
        <f>IF(LEN(AI47)&gt;0,VLOOKUP(AI47,'1. Lists'!$BD$3:$BF$15,3,FALSE),"")</f>
        <v>5</v>
      </c>
      <c r="AI47" s="127" t="s">
        <v>340</v>
      </c>
      <c r="AJ47" s="134" t="s">
        <v>68</v>
      </c>
      <c r="AK47" s="135" t="s">
        <v>461</v>
      </c>
      <c r="AL47" s="125" t="s">
        <v>426</v>
      </c>
      <c r="AM47" s="145" t="s">
        <v>762</v>
      </c>
      <c r="AN47" s="123"/>
      <c r="AO47" s="136" t="s">
        <v>565</v>
      </c>
      <c r="AP47" s="137" t="s">
        <v>790</v>
      </c>
      <c r="AQ47" s="123"/>
      <c r="AR47" s="123"/>
      <c r="AS47" s="123"/>
      <c r="AT47" s="123"/>
      <c r="AU47" s="135" t="s">
        <v>460</v>
      </c>
      <c r="AV47" s="80" t="str">
        <f>IF(LEN(AW47)&gt;0,VLOOKUP(AW47,'1. Lists'!$BQ:$BR,2,FALSE),"")</f>
        <v>ACC</v>
      </c>
      <c r="AW47" s="120" t="s">
        <v>14</v>
      </c>
      <c r="AX47" s="80">
        <f>IF(LEN(AY47)&gt;0,VLOOKUP(AY47,'1. Lists'!$BU$3:$BW$5,3,FALSE),"")</f>
        <v>3</v>
      </c>
      <c r="AY47" s="138" t="s">
        <v>83</v>
      </c>
      <c r="AZ47" s="139">
        <v>4</v>
      </c>
      <c r="BA47" s="82">
        <f t="shared" si="0"/>
        <v>4</v>
      </c>
      <c r="BC47" s="141">
        <v>0</v>
      </c>
      <c r="BD47" s="141">
        <v>0</v>
      </c>
      <c r="BE47" s="141">
        <v>1</v>
      </c>
      <c r="BF47" s="141">
        <v>0</v>
      </c>
      <c r="BG47" s="141">
        <v>0</v>
      </c>
      <c r="BH47" s="141">
        <v>1</v>
      </c>
      <c r="BI47" s="141">
        <v>0</v>
      </c>
      <c r="BJ47" s="141">
        <v>0</v>
      </c>
      <c r="BK47" s="141">
        <v>1</v>
      </c>
      <c r="BL47" s="141">
        <v>0</v>
      </c>
      <c r="BM47" s="141">
        <v>0</v>
      </c>
      <c r="BN47" s="141">
        <v>1</v>
      </c>
      <c r="BP47" s="66">
        <f t="shared" si="1"/>
        <v>1</v>
      </c>
      <c r="BQ47" s="66">
        <f t="shared" si="2"/>
        <v>4</v>
      </c>
      <c r="BR47" s="66">
        <f t="shared" si="3"/>
        <v>1</v>
      </c>
      <c r="BU47" s="66">
        <f t="shared" si="4"/>
        <v>1</v>
      </c>
      <c r="BV47" s="66">
        <f t="shared" si="5"/>
        <v>1</v>
      </c>
      <c r="BW47" s="66">
        <f t="shared" si="6"/>
        <v>1</v>
      </c>
    </row>
    <row r="48" spans="1:75" ht="75" x14ac:dyDescent="0.25">
      <c r="A48" s="92">
        <f t="shared" si="7"/>
        <v>45</v>
      </c>
      <c r="B48" s="66">
        <f>IF(LEN(D48)&gt;0,VLOOKUP(D48,'1. Lists'!$E$3:$J$52,6,FALSE),"")</f>
        <v>5</v>
      </c>
      <c r="C48" s="66" t="str">
        <f>IF(LEN(D48)&gt;0,VLOOKUP(D48,'1. Lists'!$E$3:$F$52,2,FALSE),"")</f>
        <v>Office of the Municipal Manager</v>
      </c>
      <c r="D48" s="120" t="s">
        <v>186</v>
      </c>
      <c r="E48" s="121"/>
      <c r="F48" s="65"/>
      <c r="H48" s="66">
        <f>IF(LEN(I48)&gt;0,VLOOKUP(I48,'1. Lists'!$T:$U,2,FALSE),"")</f>
        <v>67</v>
      </c>
      <c r="I48" s="122" t="s">
        <v>437</v>
      </c>
      <c r="J48" s="123"/>
      <c r="K48" s="66">
        <f>IF(LEN(L48)&gt;0,VLOOKUP(L48,'1. Lists'!$AK:$AL,2,FALSE),"")</f>
        <v>9</v>
      </c>
      <c r="L48" s="124" t="s">
        <v>159</v>
      </c>
      <c r="M48" s="70">
        <f>IF(LEN(N48)&gt;0,VLOOKUP(N48,'1. Lists'!$AN:$AQ,4,FALSE),"")</f>
        <v>2</v>
      </c>
      <c r="N48" s="125" t="s">
        <v>382</v>
      </c>
      <c r="O48" s="66">
        <f>IF(LEN(P48)&gt;0,VLOOKUP(P48,'1. Lists'!$AA:$AC,3,FALSE),"")</f>
        <v>4</v>
      </c>
      <c r="P48" s="134" t="s">
        <v>41</v>
      </c>
      <c r="Q48" s="73">
        <f>IF(LEN(R48)&gt;0,VLOOKUP(R48,'1. Lists'!$W:$Y,3,FALSE),"")</f>
        <v>1</v>
      </c>
      <c r="R48" s="127" t="s">
        <v>169</v>
      </c>
      <c r="S48" s="73">
        <f>IF(LEN(T48)&gt;0,VLOOKUP(T48,'1. Lists'!$AH:$AI,2,FALSE),"")</f>
        <v>11</v>
      </c>
      <c r="T48" s="128" t="s">
        <v>396</v>
      </c>
      <c r="U48" s="76">
        <f>IF(LEN(V48)&gt;0,VLOOKUP(V48,'1. Lists'!$AE:$AF,2,FALSE),"")</f>
        <v>11</v>
      </c>
      <c r="V48" s="129" t="s">
        <v>355</v>
      </c>
      <c r="W48" s="130"/>
      <c r="X48" s="131"/>
      <c r="Z48" s="150" t="s">
        <v>793</v>
      </c>
      <c r="AA48" s="150" t="s">
        <v>794</v>
      </c>
      <c r="AB48" s="66">
        <f>IF(LEN(AC48)&gt;0,VLOOKUP(AC48,'1. Lists'!$AV$3:$AX$7,3,FALSE),"")</f>
        <v>2</v>
      </c>
      <c r="AC48" s="133" t="s">
        <v>13</v>
      </c>
      <c r="AD48" s="66">
        <f>IF(LEN(AE48)&gt;0,VLOOKUP(AE48,'1. Lists'!$AZ$3:$BB$7,3,FALSE),"")</f>
        <v>2</v>
      </c>
      <c r="AE48" s="122" t="s">
        <v>9</v>
      </c>
      <c r="AF48" s="123"/>
      <c r="AG48" s="123"/>
      <c r="AH48" s="66">
        <f>IF(LEN(AI48)&gt;0,VLOOKUP(AI48,'1. Lists'!$BD$3:$BF$15,3,FALSE),"")</f>
        <v>5</v>
      </c>
      <c r="AI48" s="127" t="s">
        <v>340</v>
      </c>
      <c r="AJ48" s="134" t="s">
        <v>68</v>
      </c>
      <c r="AK48" s="135" t="s">
        <v>461</v>
      </c>
      <c r="AL48" s="125" t="s">
        <v>426</v>
      </c>
      <c r="AM48" s="145" t="s">
        <v>762</v>
      </c>
      <c r="AN48" s="123"/>
      <c r="AO48" s="136" t="s">
        <v>795</v>
      </c>
      <c r="AP48" s="137" t="s">
        <v>790</v>
      </c>
      <c r="AQ48" s="123"/>
      <c r="AR48" s="123"/>
      <c r="AS48" s="123"/>
      <c r="AT48" s="123"/>
      <c r="AU48" s="135" t="s">
        <v>460</v>
      </c>
      <c r="AV48" s="80" t="str">
        <f>IF(LEN(AW48)&gt;0,VLOOKUP(AW48,'1. Lists'!$BQ:$BR,2,FALSE),"")</f>
        <v>ACC</v>
      </c>
      <c r="AW48" s="120" t="s">
        <v>14</v>
      </c>
      <c r="AX48" s="80">
        <f>IF(LEN(AY48)&gt;0,VLOOKUP(AY48,'1. Lists'!$BU$3:$BW$5,3,FALSE),"")</f>
        <v>3</v>
      </c>
      <c r="AY48" s="138" t="s">
        <v>83</v>
      </c>
      <c r="AZ48" s="139">
        <v>12</v>
      </c>
      <c r="BA48" s="82">
        <f t="shared" si="0"/>
        <v>12</v>
      </c>
      <c r="BC48" s="141">
        <v>1</v>
      </c>
      <c r="BD48" s="141">
        <v>1</v>
      </c>
      <c r="BE48" s="141">
        <v>1</v>
      </c>
      <c r="BF48" s="141">
        <v>1</v>
      </c>
      <c r="BG48" s="141">
        <v>1</v>
      </c>
      <c r="BH48" s="141">
        <v>1</v>
      </c>
      <c r="BI48" s="141">
        <v>1</v>
      </c>
      <c r="BJ48" s="141">
        <v>1</v>
      </c>
      <c r="BK48" s="141">
        <v>1</v>
      </c>
      <c r="BL48" s="141">
        <v>1</v>
      </c>
      <c r="BM48" s="141">
        <v>1</v>
      </c>
      <c r="BN48" s="141">
        <v>1</v>
      </c>
      <c r="BP48" s="66">
        <f t="shared" si="1"/>
        <v>1</v>
      </c>
      <c r="BQ48" s="66">
        <f t="shared" si="2"/>
        <v>12</v>
      </c>
      <c r="BR48" s="66">
        <f t="shared" si="3"/>
        <v>1</v>
      </c>
      <c r="BU48" s="66">
        <f t="shared" si="4"/>
        <v>1</v>
      </c>
      <c r="BV48" s="66">
        <f t="shared" si="5"/>
        <v>1</v>
      </c>
      <c r="BW48" s="66">
        <f t="shared" si="6"/>
        <v>1</v>
      </c>
    </row>
    <row r="49" spans="1:75" ht="75" x14ac:dyDescent="0.25">
      <c r="A49" s="92">
        <f t="shared" si="7"/>
        <v>46</v>
      </c>
      <c r="B49" s="66">
        <f>IF(LEN(D49)&gt;0,VLOOKUP(D49,'1. Lists'!$E$3:$J$52,6,FALSE),"")</f>
        <v>5</v>
      </c>
      <c r="C49" s="66" t="str">
        <f>IF(LEN(D49)&gt;0,VLOOKUP(D49,'1. Lists'!$E$3:$F$52,2,FALSE),"")</f>
        <v>Office of the Municipal Manager</v>
      </c>
      <c r="D49" s="120" t="s">
        <v>186</v>
      </c>
      <c r="E49" s="121"/>
      <c r="F49" s="65"/>
      <c r="H49" s="66">
        <f>IF(LEN(I49)&gt;0,VLOOKUP(I49,'1. Lists'!$T:$U,2,FALSE),"")</f>
        <v>67</v>
      </c>
      <c r="I49" s="122" t="s">
        <v>437</v>
      </c>
      <c r="J49" s="123"/>
      <c r="K49" s="66">
        <f>IF(LEN(L49)&gt;0,VLOOKUP(L49,'1. Lists'!$AK:$AL,2,FALSE),"")</f>
        <v>9</v>
      </c>
      <c r="L49" s="124" t="s">
        <v>159</v>
      </c>
      <c r="M49" s="70">
        <f>IF(LEN(N49)&gt;0,VLOOKUP(N49,'1. Lists'!$AN:$AQ,4,FALSE),"")</f>
        <v>2</v>
      </c>
      <c r="N49" s="125" t="s">
        <v>382</v>
      </c>
      <c r="O49" s="66">
        <f>IF(LEN(P49)&gt;0,VLOOKUP(P49,'1. Lists'!$AA:$AC,3,FALSE),"")</f>
        <v>4</v>
      </c>
      <c r="P49" s="134" t="s">
        <v>41</v>
      </c>
      <c r="Q49" s="73">
        <f>IF(LEN(R49)&gt;0,VLOOKUP(R49,'1. Lists'!$W:$Y,3,FALSE),"")</f>
        <v>1</v>
      </c>
      <c r="R49" s="127" t="s">
        <v>169</v>
      </c>
      <c r="S49" s="73">
        <f>IF(LEN(T49)&gt;0,VLOOKUP(T49,'1. Lists'!$AH:$AI,2,FALSE),"")</f>
        <v>11</v>
      </c>
      <c r="T49" s="128" t="s">
        <v>396</v>
      </c>
      <c r="U49" s="76">
        <f>IF(LEN(V49)&gt;0,VLOOKUP(V49,'1. Lists'!$AE:$AF,2,FALSE),"")</f>
        <v>11</v>
      </c>
      <c r="V49" s="129" t="s">
        <v>355</v>
      </c>
      <c r="W49" s="130"/>
      <c r="X49" s="131"/>
      <c r="Z49" s="150" t="s">
        <v>796</v>
      </c>
      <c r="AA49" s="150" t="s">
        <v>797</v>
      </c>
      <c r="AB49" s="66">
        <f>IF(LEN(AC49)&gt;0,VLOOKUP(AC49,'1. Lists'!$AV$3:$AX$7,3,FALSE),"")</f>
        <v>3</v>
      </c>
      <c r="AC49" s="133" t="s">
        <v>4</v>
      </c>
      <c r="AD49" s="66">
        <f>IF(LEN(AE49)&gt;0,VLOOKUP(AE49,'1. Lists'!$AZ$3:$BB$7,3,FALSE),"")</f>
        <v>2</v>
      </c>
      <c r="AE49" s="122" t="s">
        <v>9</v>
      </c>
      <c r="AF49" s="123"/>
      <c r="AG49" s="123"/>
      <c r="AH49" s="66">
        <f>IF(LEN(AI49)&gt;0,VLOOKUP(AI49,'1. Lists'!$BD$3:$BF$15,3,FALSE),"")</f>
        <v>5</v>
      </c>
      <c r="AI49" s="127" t="s">
        <v>340</v>
      </c>
      <c r="AJ49" s="134" t="s">
        <v>68</v>
      </c>
      <c r="AK49" s="135" t="s">
        <v>461</v>
      </c>
      <c r="AL49" s="125" t="s">
        <v>426</v>
      </c>
      <c r="AM49" s="145" t="s">
        <v>762</v>
      </c>
      <c r="AN49" s="123"/>
      <c r="AO49" s="145">
        <v>0.85</v>
      </c>
      <c r="AP49" s="137" t="s">
        <v>798</v>
      </c>
      <c r="AQ49" s="123"/>
      <c r="AR49" s="123"/>
      <c r="AS49" s="123"/>
      <c r="AT49" s="123"/>
      <c r="AU49" s="135" t="s">
        <v>460</v>
      </c>
      <c r="AV49" s="80" t="str">
        <f>IF(LEN(AW49)&gt;0,VLOOKUP(AW49,'1. Lists'!$BQ:$BR,2,FALSE),"")</f>
        <v>LAST</v>
      </c>
      <c r="AW49" s="120" t="s">
        <v>190</v>
      </c>
      <c r="AX49" s="80">
        <f>IF(LEN(AY49)&gt;0,VLOOKUP(AY49,'1. Lists'!$BU$3:$BW$5,3,FALSE),"")</f>
        <v>2</v>
      </c>
      <c r="AY49" s="138" t="s">
        <v>82</v>
      </c>
      <c r="AZ49" s="139">
        <v>85</v>
      </c>
      <c r="BA49" s="82">
        <f t="shared" si="0"/>
        <v>85</v>
      </c>
      <c r="BC49" s="141">
        <v>0</v>
      </c>
      <c r="BD49" s="141">
        <v>0</v>
      </c>
      <c r="BE49" s="141">
        <v>0</v>
      </c>
      <c r="BF49" s="141">
        <v>0</v>
      </c>
      <c r="BG49" s="141">
        <v>0</v>
      </c>
      <c r="BH49" s="141">
        <v>0</v>
      </c>
      <c r="BI49" s="141">
        <v>0</v>
      </c>
      <c r="BJ49" s="141">
        <v>0</v>
      </c>
      <c r="BK49" s="141">
        <v>0</v>
      </c>
      <c r="BL49" s="141">
        <v>0</v>
      </c>
      <c r="BM49" s="141">
        <v>0</v>
      </c>
      <c r="BN49" s="141">
        <v>85</v>
      </c>
      <c r="BP49" s="66">
        <f t="shared" si="1"/>
        <v>85</v>
      </c>
      <c r="BQ49" s="66">
        <f t="shared" si="2"/>
        <v>85</v>
      </c>
      <c r="BR49" s="66">
        <f t="shared" si="3"/>
        <v>85</v>
      </c>
      <c r="BU49" s="66">
        <f t="shared" si="4"/>
        <v>85</v>
      </c>
      <c r="BV49" s="66">
        <f t="shared" si="5"/>
        <v>85</v>
      </c>
      <c r="BW49" s="66">
        <f t="shared" si="6"/>
        <v>85</v>
      </c>
    </row>
    <row r="50" spans="1:75" ht="75" x14ac:dyDescent="0.25">
      <c r="A50" s="92">
        <f t="shared" si="7"/>
        <v>47</v>
      </c>
      <c r="B50" s="66">
        <f>IF(LEN(D50)&gt;0,VLOOKUP(D50,'1. Lists'!$E$3:$J$52,6,FALSE),"")</f>
        <v>5</v>
      </c>
      <c r="C50" s="66" t="str">
        <f>IF(LEN(D50)&gt;0,VLOOKUP(D50,'1. Lists'!$E$3:$F$52,2,FALSE),"")</f>
        <v>Office of the Municipal Manager</v>
      </c>
      <c r="D50" s="120" t="s">
        <v>186</v>
      </c>
      <c r="E50" s="121"/>
      <c r="F50" s="65"/>
      <c r="H50" s="66">
        <f>IF(LEN(I50)&gt;0,VLOOKUP(I50,'1. Lists'!$T:$U,2,FALSE),"")</f>
        <v>67</v>
      </c>
      <c r="I50" s="122" t="s">
        <v>437</v>
      </c>
      <c r="J50" s="123"/>
      <c r="K50" s="66">
        <f>IF(LEN(L50)&gt;0,VLOOKUP(L50,'1. Lists'!$AK:$AL,2,FALSE),"")</f>
        <v>9</v>
      </c>
      <c r="L50" s="124" t="s">
        <v>159</v>
      </c>
      <c r="M50" s="70">
        <f>IF(LEN(N50)&gt;0,VLOOKUP(N50,'1. Lists'!$AN:$AQ,4,FALSE),"")</f>
        <v>2</v>
      </c>
      <c r="N50" s="125" t="s">
        <v>382</v>
      </c>
      <c r="O50" s="66">
        <f>IF(LEN(P50)&gt;0,VLOOKUP(P50,'1. Lists'!$AA:$AC,3,FALSE),"")</f>
        <v>4</v>
      </c>
      <c r="P50" s="134" t="s">
        <v>41</v>
      </c>
      <c r="Q50" s="73">
        <f>IF(LEN(R50)&gt;0,VLOOKUP(R50,'1. Lists'!$W:$Y,3,FALSE),"")</f>
        <v>1</v>
      </c>
      <c r="R50" s="127" t="s">
        <v>169</v>
      </c>
      <c r="S50" s="73">
        <f>IF(LEN(T50)&gt;0,VLOOKUP(T50,'1. Lists'!$AH:$AI,2,FALSE),"")</f>
        <v>11</v>
      </c>
      <c r="T50" s="128" t="s">
        <v>396</v>
      </c>
      <c r="U50" s="76">
        <f>IF(LEN(V50)&gt;0,VLOOKUP(V50,'1. Lists'!$AE:$AF,2,FALSE),"")</f>
        <v>11</v>
      </c>
      <c r="V50" s="129" t="s">
        <v>355</v>
      </c>
      <c r="W50" s="130"/>
      <c r="X50" s="131"/>
      <c r="Z50" s="150" t="s">
        <v>787</v>
      </c>
      <c r="AA50" s="150" t="s">
        <v>788</v>
      </c>
      <c r="AB50" s="66">
        <f>IF(LEN(AC50)&gt;0,VLOOKUP(AC50,'1. Lists'!$AV$3:$AX$7,3,FALSE),"")</f>
        <v>3</v>
      </c>
      <c r="AC50" s="133" t="s">
        <v>4</v>
      </c>
      <c r="AD50" s="66">
        <f>IF(LEN(AE50)&gt;0,VLOOKUP(AE50,'1. Lists'!$AZ$3:$BB$7,3,FALSE),"")</f>
        <v>2</v>
      </c>
      <c r="AE50" s="122" t="s">
        <v>9</v>
      </c>
      <c r="AF50" s="123"/>
      <c r="AG50" s="123"/>
      <c r="AH50" s="66">
        <f>IF(LEN(AI50)&gt;0,VLOOKUP(AI50,'1. Lists'!$BD$3:$BF$15,3,FALSE),"")</f>
        <v>5</v>
      </c>
      <c r="AI50" s="127" t="s">
        <v>340</v>
      </c>
      <c r="AJ50" s="134" t="s">
        <v>68</v>
      </c>
      <c r="AK50" s="135" t="s">
        <v>461</v>
      </c>
      <c r="AL50" s="125" t="s">
        <v>426</v>
      </c>
      <c r="AM50" s="145" t="s">
        <v>762</v>
      </c>
      <c r="AN50" s="123"/>
      <c r="AO50" s="145" t="s">
        <v>842</v>
      </c>
      <c r="AP50" s="137" t="s">
        <v>790</v>
      </c>
      <c r="AQ50" s="123"/>
      <c r="AR50" s="123"/>
      <c r="AS50" s="123"/>
      <c r="AT50" s="123"/>
      <c r="AU50" s="135" t="s">
        <v>460</v>
      </c>
      <c r="AV50" s="80" t="str">
        <f>IF(LEN(AW50)&gt;0,VLOOKUP(AW50,'1. Lists'!$BQ:$BR,2,FALSE),"")</f>
        <v>LAST</v>
      </c>
      <c r="AW50" s="120" t="s">
        <v>190</v>
      </c>
      <c r="AX50" s="80">
        <f>IF(LEN(AY50)&gt;0,VLOOKUP(AY50,'1. Lists'!$BU$3:$BW$5,3,FALSE),"")</f>
        <v>3</v>
      </c>
      <c r="AY50" s="138" t="s">
        <v>83</v>
      </c>
      <c r="AZ50" s="139">
        <v>1</v>
      </c>
      <c r="BA50" s="82">
        <f t="shared" si="0"/>
        <v>1</v>
      </c>
      <c r="BC50" s="141">
        <v>0</v>
      </c>
      <c r="BD50" s="141">
        <v>0</v>
      </c>
      <c r="BE50" s="141">
        <v>0</v>
      </c>
      <c r="BF50" s="141">
        <v>1</v>
      </c>
      <c r="BG50" s="141">
        <v>0</v>
      </c>
      <c r="BH50" s="141">
        <v>0</v>
      </c>
      <c r="BI50" s="141">
        <v>0</v>
      </c>
      <c r="BJ50" s="141">
        <v>0</v>
      </c>
      <c r="BK50" s="141">
        <v>0</v>
      </c>
      <c r="BL50" s="141">
        <v>0</v>
      </c>
      <c r="BM50" s="141">
        <v>0</v>
      </c>
      <c r="BN50" s="141">
        <v>0</v>
      </c>
      <c r="BP50" s="66">
        <f t="shared" si="1"/>
        <v>1</v>
      </c>
      <c r="BQ50" s="66">
        <f t="shared" si="2"/>
        <v>1</v>
      </c>
      <c r="BR50" s="66">
        <f t="shared" si="3"/>
        <v>1</v>
      </c>
      <c r="BU50" s="66">
        <f t="shared" si="4"/>
        <v>1</v>
      </c>
      <c r="BV50" s="66">
        <f t="shared" si="5"/>
        <v>1</v>
      </c>
      <c r="BW50" s="66">
        <f t="shared" si="6"/>
        <v>1</v>
      </c>
    </row>
    <row r="51" spans="1:75" ht="75" x14ac:dyDescent="0.25">
      <c r="A51" s="92">
        <f t="shared" si="7"/>
        <v>48</v>
      </c>
      <c r="B51" s="66">
        <f>IF(LEN(D51)&gt;0,VLOOKUP(D51,'1. Lists'!$E$3:$J$52,6,FALSE),"")</f>
        <v>6</v>
      </c>
      <c r="C51" s="66" t="str">
        <f>IF(LEN(D51)&gt;0,VLOOKUP(D51,'1. Lists'!$E$3:$F$52,2,FALSE),"")</f>
        <v>Office of the Municipal Manager</v>
      </c>
      <c r="D51" s="120" t="s">
        <v>365</v>
      </c>
      <c r="E51" s="121"/>
      <c r="F51" s="65" t="str">
        <f>IF(E51&gt;0,VLOOKUP(E51,'2. Top Layer'!$A:$C,3,FALSE),"")</f>
        <v/>
      </c>
      <c r="G51" s="65" t="str">
        <f>IF(E51&gt;0,VLOOKUP(E51,'2. Top Layer'!$A:$T,17,FALSE),"")</f>
        <v/>
      </c>
      <c r="H51" s="66">
        <f>IF(LEN(I51)&gt;0,VLOOKUP(I51,'1. Lists'!$T:$U,2,FALSE),"")</f>
        <v>46</v>
      </c>
      <c r="I51" s="122" t="s">
        <v>431</v>
      </c>
      <c r="J51" s="123"/>
      <c r="K51" s="66">
        <f>IF(LEN(L51)&gt;0,VLOOKUP(L51,'1. Lists'!$AK:$AL,2,FALSE),"")</f>
        <v>7</v>
      </c>
      <c r="L51" s="124" t="s">
        <v>157</v>
      </c>
      <c r="M51" s="70">
        <f>IF(LEN(N51)&gt;0,VLOOKUP(N51,'1. Lists'!$AN:$AQ,4,FALSE),"")</f>
        <v>3</v>
      </c>
      <c r="N51" s="125" t="s">
        <v>383</v>
      </c>
      <c r="O51" s="66">
        <f>IF(LEN(P51)&gt;0,VLOOKUP(P51,'1. Lists'!$AA:$AC,3,FALSE),"")</f>
        <v>2</v>
      </c>
      <c r="P51" s="126" t="s">
        <v>39</v>
      </c>
      <c r="Q51" s="73">
        <f>IF(LEN(R51)&gt;0,VLOOKUP(R51,'1. Lists'!$W:$Y,3,FALSE),"")</f>
        <v>1</v>
      </c>
      <c r="R51" s="127" t="s">
        <v>169</v>
      </c>
      <c r="S51" s="73">
        <f>IF(LEN(T51)&gt;0,VLOOKUP(T51,'1. Lists'!$AH:$AI,2,FALSE),"")</f>
        <v>3</v>
      </c>
      <c r="T51" s="128" t="s">
        <v>388</v>
      </c>
      <c r="U51" s="76">
        <f>IF(LEN(V51)&gt;0,VLOOKUP(V51,'1. Lists'!$AE:$AF,2,FALSE),"")</f>
        <v>9</v>
      </c>
      <c r="V51" s="129" t="s">
        <v>353</v>
      </c>
      <c r="W51" s="130"/>
      <c r="X51" s="131" t="str">
        <f>IF(W51&gt;0,VLOOKUP($W51,#REF!,4,FALSE),"")</f>
        <v/>
      </c>
      <c r="Y51" s="78" t="str">
        <f>IF(W51&gt;0,VLOOKUP($W51,#REF!,10,FALSE),"")</f>
        <v/>
      </c>
      <c r="Z51" s="132" t="s">
        <v>478</v>
      </c>
      <c r="AA51" s="132" t="s">
        <v>464</v>
      </c>
      <c r="AB51" s="66">
        <f>IF(LEN(AC51)&gt;0,VLOOKUP(AC51,'1. Lists'!$AV$3:$AX$7,3,FALSE),"")</f>
        <v>2</v>
      </c>
      <c r="AC51" s="133" t="s">
        <v>13</v>
      </c>
      <c r="AD51" s="66">
        <f>IF(LEN(AE51)&gt;0,VLOOKUP(AE51,'1. Lists'!$AZ$3:$BB$7,3,FALSE),"")</f>
        <v>1</v>
      </c>
      <c r="AE51" s="122" t="s">
        <v>15</v>
      </c>
      <c r="AF51" s="123"/>
      <c r="AG51" s="123"/>
      <c r="AH51" s="66">
        <f>IF(LEN(AI51)&gt;0,VLOOKUP(AI51,'1. Lists'!$BD$3:$BF$15,3,FALSE),"")</f>
        <v>5</v>
      </c>
      <c r="AI51" s="127" t="s">
        <v>340</v>
      </c>
      <c r="AJ51" s="134" t="s">
        <v>68</v>
      </c>
      <c r="AK51" s="135" t="s">
        <v>461</v>
      </c>
      <c r="AL51" s="125" t="s">
        <v>416</v>
      </c>
      <c r="AM51" s="136">
        <v>5</v>
      </c>
      <c r="AN51" s="123"/>
      <c r="AO51" s="136" t="s">
        <v>584</v>
      </c>
      <c r="AP51" s="137" t="s">
        <v>585</v>
      </c>
      <c r="AQ51" s="123"/>
      <c r="AR51" s="123"/>
      <c r="AS51" s="123"/>
      <c r="AT51" s="123"/>
      <c r="AU51" s="135" t="s">
        <v>460</v>
      </c>
      <c r="AV51" s="80" t="str">
        <f>IF(LEN(AW51)&gt;0,VLOOKUP(AW51,'1. Lists'!$BQ:$BR,2,FALSE),"")</f>
        <v>ACC</v>
      </c>
      <c r="AW51" s="133" t="s">
        <v>14</v>
      </c>
      <c r="AX51" s="80">
        <f>IF(LEN(AY51)&gt;0,VLOOKUP(AY51,'1. Lists'!$BU$3:$BW$5,3,FALSE),"")</f>
        <v>3</v>
      </c>
      <c r="AY51" s="138" t="s">
        <v>83</v>
      </c>
      <c r="AZ51" s="139">
        <v>5</v>
      </c>
      <c r="BA51" s="82">
        <f t="shared" si="0"/>
        <v>5</v>
      </c>
      <c r="BC51" s="141">
        <v>0</v>
      </c>
      <c r="BD51" s="141">
        <v>0</v>
      </c>
      <c r="BE51" s="141">
        <v>0</v>
      </c>
      <c r="BF51" s="141">
        <v>0</v>
      </c>
      <c r="BG51" s="141">
        <v>5</v>
      </c>
      <c r="BH51" s="141">
        <v>0</v>
      </c>
      <c r="BI51" s="141">
        <v>0</v>
      </c>
      <c r="BJ51" s="141">
        <v>0</v>
      </c>
      <c r="BK51" s="141">
        <v>0</v>
      </c>
      <c r="BL51" s="141">
        <v>0</v>
      </c>
      <c r="BM51" s="141">
        <v>0</v>
      </c>
      <c r="BN51" s="141">
        <v>0</v>
      </c>
      <c r="BP51" s="66">
        <f t="shared" si="1"/>
        <v>5</v>
      </c>
      <c r="BQ51" s="66">
        <f t="shared" si="2"/>
        <v>5</v>
      </c>
      <c r="BR51" s="66">
        <f t="shared" si="3"/>
        <v>5</v>
      </c>
      <c r="BS51" s="66">
        <v>0</v>
      </c>
      <c r="BU51" s="66">
        <f t="shared" si="4"/>
        <v>5</v>
      </c>
      <c r="BV51" s="66">
        <f t="shared" si="5"/>
        <v>5</v>
      </c>
      <c r="BW51" s="66">
        <f t="shared" si="6"/>
        <v>5</v>
      </c>
    </row>
    <row r="52" spans="1:75" ht="75" x14ac:dyDescent="0.25">
      <c r="A52" s="92">
        <f t="shared" si="7"/>
        <v>49</v>
      </c>
      <c r="B52" s="66">
        <f>IF(LEN(D52)&gt;0,VLOOKUP(D52,'1. Lists'!$E$3:$J$52,6,FALSE),"")</f>
        <v>6</v>
      </c>
      <c r="C52" s="66" t="str">
        <f>IF(LEN(D52)&gt;0,VLOOKUP(D52,'1. Lists'!$E$3:$F$52,2,FALSE),"")</f>
        <v>Office of the Municipal Manager</v>
      </c>
      <c r="D52" s="120" t="s">
        <v>365</v>
      </c>
      <c r="E52" s="121"/>
      <c r="F52" s="65" t="str">
        <f>IF(E52&gt;0,VLOOKUP(E52,'2. Top Layer'!$A:$C,3,FALSE),"")</f>
        <v/>
      </c>
      <c r="G52" s="65" t="str">
        <f>IF(E52&gt;0,VLOOKUP(E52,'2. Top Layer'!$A:$T,17,FALSE),"")</f>
        <v/>
      </c>
      <c r="H52" s="66">
        <f>IF(LEN(I52)&gt;0,VLOOKUP(I52,'1. Lists'!$T:$U,2,FALSE),"")</f>
        <v>46</v>
      </c>
      <c r="I52" s="122" t="s">
        <v>431</v>
      </c>
      <c r="J52" s="123"/>
      <c r="K52" s="66">
        <f>IF(LEN(L52)&gt;0,VLOOKUP(L52,'1. Lists'!$AK:$AL,2,FALSE),"")</f>
        <v>7</v>
      </c>
      <c r="L52" s="124" t="s">
        <v>157</v>
      </c>
      <c r="M52" s="70">
        <f>IF(LEN(N52)&gt;0,VLOOKUP(N52,'1. Lists'!$AN:$AQ,4,FALSE),"")</f>
        <v>3</v>
      </c>
      <c r="N52" s="125" t="s">
        <v>383</v>
      </c>
      <c r="O52" s="66">
        <f>IF(LEN(P52)&gt;0,VLOOKUP(P52,'1. Lists'!$AA:$AC,3,FALSE),"")</f>
        <v>2</v>
      </c>
      <c r="P52" s="126" t="s">
        <v>39</v>
      </c>
      <c r="Q52" s="73">
        <f>IF(LEN(R52)&gt;0,VLOOKUP(R52,'1. Lists'!$W:$Y,3,FALSE),"")</f>
        <v>1</v>
      </c>
      <c r="R52" s="127" t="s">
        <v>169</v>
      </c>
      <c r="S52" s="73">
        <f>IF(LEN(T52)&gt;0,VLOOKUP(T52,'1. Lists'!$AH:$AI,2,FALSE),"")</f>
        <v>3</v>
      </c>
      <c r="T52" s="128" t="s">
        <v>388</v>
      </c>
      <c r="U52" s="76">
        <f>IF(LEN(V52)&gt;0,VLOOKUP(V52,'1. Lists'!$AE:$AF,2,FALSE),"")</f>
        <v>9</v>
      </c>
      <c r="V52" s="129" t="s">
        <v>353</v>
      </c>
      <c r="W52" s="130"/>
      <c r="X52" s="131" t="str">
        <f>IF(W52&gt;0,VLOOKUP($W52,#REF!,4,FALSE),"")</f>
        <v/>
      </c>
      <c r="Y52" s="78" t="str">
        <f>IF(W52&gt;0,VLOOKUP($W52,#REF!,10,FALSE),"")</f>
        <v/>
      </c>
      <c r="Z52" s="132" t="s">
        <v>479</v>
      </c>
      <c r="AA52" s="132" t="s">
        <v>480</v>
      </c>
      <c r="AB52" s="66">
        <f>IF(LEN(AC52)&gt;0,VLOOKUP(AC52,'1. Lists'!$AV$3:$AX$7,3,FALSE),"")</f>
        <v>2</v>
      </c>
      <c r="AC52" s="133" t="s">
        <v>13</v>
      </c>
      <c r="AD52" s="66">
        <f>IF(LEN(AE52)&gt;0,VLOOKUP(AE52,'1. Lists'!$AZ$3:$BB$7,3,FALSE),"")</f>
        <v>1</v>
      </c>
      <c r="AE52" s="122" t="s">
        <v>15</v>
      </c>
      <c r="AF52" s="123"/>
      <c r="AG52" s="123"/>
      <c r="AH52" s="66">
        <f>IF(LEN(AI52)&gt;0,VLOOKUP(AI52,'1. Lists'!$BD$3:$BF$15,3,FALSE),"")</f>
        <v>5</v>
      </c>
      <c r="AI52" s="127" t="s">
        <v>340</v>
      </c>
      <c r="AJ52" s="134" t="s">
        <v>68</v>
      </c>
      <c r="AK52" s="135" t="s">
        <v>461</v>
      </c>
      <c r="AL52" s="125" t="s">
        <v>416</v>
      </c>
      <c r="AM52" s="136">
        <v>2</v>
      </c>
      <c r="AN52" s="123"/>
      <c r="AO52" s="136" t="s">
        <v>822</v>
      </c>
      <c r="AP52" s="137" t="s">
        <v>586</v>
      </c>
      <c r="AQ52" s="123"/>
      <c r="AR52" s="123"/>
      <c r="AS52" s="123"/>
      <c r="AT52" s="123"/>
      <c r="AU52" s="135" t="s">
        <v>460</v>
      </c>
      <c r="AV52" s="80" t="str">
        <f>IF(LEN(AW52)&gt;0,VLOOKUP(AW52,'1. Lists'!$BQ:$BR,2,FALSE),"")</f>
        <v>ACC</v>
      </c>
      <c r="AW52" s="133" t="s">
        <v>14</v>
      </c>
      <c r="AX52" s="80">
        <f>IF(LEN(AY52)&gt;0,VLOOKUP(AY52,'1. Lists'!$BU$3:$BW$5,3,FALSE),"")</f>
        <v>3</v>
      </c>
      <c r="AY52" s="138" t="s">
        <v>83</v>
      </c>
      <c r="AZ52" s="139">
        <v>2</v>
      </c>
      <c r="BA52" s="82">
        <f t="shared" si="0"/>
        <v>2</v>
      </c>
      <c r="BC52" s="141">
        <v>0</v>
      </c>
      <c r="BD52" s="141">
        <v>0</v>
      </c>
      <c r="BE52" s="141">
        <v>0</v>
      </c>
      <c r="BF52" s="141">
        <v>0</v>
      </c>
      <c r="BG52" s="141">
        <v>0</v>
      </c>
      <c r="BH52" s="141">
        <v>1</v>
      </c>
      <c r="BI52" s="141">
        <v>0</v>
      </c>
      <c r="BJ52" s="141">
        <v>0</v>
      </c>
      <c r="BK52" s="141">
        <v>0</v>
      </c>
      <c r="BL52" s="141">
        <v>0</v>
      </c>
      <c r="BM52" s="141">
        <v>0</v>
      </c>
      <c r="BN52" s="141">
        <v>1</v>
      </c>
      <c r="BP52" s="66">
        <f t="shared" si="1"/>
        <v>1</v>
      </c>
      <c r="BQ52" s="66">
        <f t="shared" si="2"/>
        <v>2</v>
      </c>
      <c r="BR52" s="66">
        <f t="shared" si="3"/>
        <v>1</v>
      </c>
      <c r="BS52" s="66">
        <v>0</v>
      </c>
      <c r="BU52" s="66">
        <f t="shared" si="4"/>
        <v>1</v>
      </c>
      <c r="BV52" s="66">
        <f t="shared" si="5"/>
        <v>1</v>
      </c>
      <c r="BW52" s="66">
        <f t="shared" si="6"/>
        <v>1</v>
      </c>
    </row>
    <row r="53" spans="1:75" ht="75" x14ac:dyDescent="0.25">
      <c r="A53" s="92">
        <f t="shared" si="7"/>
        <v>50</v>
      </c>
      <c r="B53" s="66">
        <f>IF(LEN(D53)&gt;0,VLOOKUP(D53,'1. Lists'!$E$3:$J$52,6,FALSE),"")</f>
        <v>6</v>
      </c>
      <c r="C53" s="66" t="str">
        <f>IF(LEN(D53)&gt;0,VLOOKUP(D53,'1. Lists'!$E$3:$F$52,2,FALSE),"")</f>
        <v>Office of the Municipal Manager</v>
      </c>
      <c r="D53" s="120" t="s">
        <v>365</v>
      </c>
      <c r="E53" s="121"/>
      <c r="F53" s="65" t="str">
        <f>IF(E53&gt;0,VLOOKUP(E53,'2. Top Layer'!$A:$C,3,FALSE),"")</f>
        <v/>
      </c>
      <c r="G53" s="65" t="str">
        <f>IF(E53&gt;0,VLOOKUP(E53,'2. Top Layer'!$A:$T,17,FALSE),"")</f>
        <v/>
      </c>
      <c r="H53" s="66">
        <f>IF(LEN(I53)&gt;0,VLOOKUP(I53,'1. Lists'!$T:$U,2,FALSE),"")</f>
        <v>46</v>
      </c>
      <c r="I53" s="122" t="s">
        <v>431</v>
      </c>
      <c r="J53" s="123"/>
      <c r="K53" s="66">
        <f>IF(LEN(L53)&gt;0,VLOOKUP(L53,'1. Lists'!$AK:$AL,2,FALSE),"")</f>
        <v>7</v>
      </c>
      <c r="L53" s="124" t="s">
        <v>157</v>
      </c>
      <c r="M53" s="70">
        <f>IF(LEN(N53)&gt;0,VLOOKUP(N53,'1. Lists'!$AN:$AQ,4,FALSE),"")</f>
        <v>3</v>
      </c>
      <c r="N53" s="125" t="s">
        <v>383</v>
      </c>
      <c r="O53" s="66">
        <f>IF(LEN(P53)&gt;0,VLOOKUP(P53,'1. Lists'!$AA:$AC,3,FALSE),"")</f>
        <v>2</v>
      </c>
      <c r="P53" s="126" t="s">
        <v>39</v>
      </c>
      <c r="Q53" s="73">
        <f>IF(LEN(R53)&gt;0,VLOOKUP(R53,'1. Lists'!$W:$Y,3,FALSE),"")</f>
        <v>1</v>
      </c>
      <c r="R53" s="127" t="s">
        <v>169</v>
      </c>
      <c r="S53" s="73">
        <f>IF(LEN(T53)&gt;0,VLOOKUP(T53,'1. Lists'!$AH:$AI,2,FALSE),"")</f>
        <v>3</v>
      </c>
      <c r="T53" s="128" t="s">
        <v>388</v>
      </c>
      <c r="U53" s="76">
        <f>IF(LEN(V53)&gt;0,VLOOKUP(V53,'1. Lists'!$AE:$AF,2,FALSE),"")</f>
        <v>9</v>
      </c>
      <c r="V53" s="129" t="s">
        <v>353</v>
      </c>
      <c r="W53" s="130"/>
      <c r="X53" s="131" t="str">
        <f>IF(W53&gt;0,VLOOKUP($W53,#REF!,4,FALSE),"")</f>
        <v/>
      </c>
      <c r="Y53" s="78" t="str">
        <f>IF(W53&gt;0,VLOOKUP($W53,#REF!,10,FALSE),"")</f>
        <v/>
      </c>
      <c r="Z53" s="132" t="s">
        <v>481</v>
      </c>
      <c r="AA53" s="132" t="s">
        <v>480</v>
      </c>
      <c r="AB53" s="66">
        <f>IF(LEN(AC53)&gt;0,VLOOKUP(AC53,'1. Lists'!$AV$3:$AX$7,3,FALSE),"")</f>
        <v>2</v>
      </c>
      <c r="AC53" s="133" t="s">
        <v>13</v>
      </c>
      <c r="AD53" s="66">
        <f>IF(LEN(AE53)&gt;0,VLOOKUP(AE53,'1. Lists'!$AZ$3:$BB$7,3,FALSE),"")</f>
        <v>1</v>
      </c>
      <c r="AE53" s="122" t="s">
        <v>15</v>
      </c>
      <c r="AF53" s="123"/>
      <c r="AG53" s="123"/>
      <c r="AH53" s="66">
        <f>IF(LEN(AI53)&gt;0,VLOOKUP(AI53,'1. Lists'!$BD$3:$BF$15,3,FALSE),"")</f>
        <v>5</v>
      </c>
      <c r="AI53" s="127" t="s">
        <v>340</v>
      </c>
      <c r="AJ53" s="134" t="s">
        <v>68</v>
      </c>
      <c r="AK53" s="135" t="s">
        <v>461</v>
      </c>
      <c r="AL53" s="125" t="s">
        <v>416</v>
      </c>
      <c r="AM53" s="136">
        <v>20</v>
      </c>
      <c r="AN53" s="123"/>
      <c r="AO53" s="136" t="s">
        <v>823</v>
      </c>
      <c r="AP53" s="137" t="s">
        <v>586</v>
      </c>
      <c r="AQ53" s="123"/>
      <c r="AR53" s="123"/>
      <c r="AS53" s="123"/>
      <c r="AT53" s="123"/>
      <c r="AU53" s="135" t="s">
        <v>460</v>
      </c>
      <c r="AV53" s="80" t="str">
        <f>IF(LEN(AW53)&gt;0,VLOOKUP(AW53,'1. Lists'!$BQ:$BR,2,FALSE),"")</f>
        <v>ACC</v>
      </c>
      <c r="AW53" s="133" t="s">
        <v>14</v>
      </c>
      <c r="AX53" s="80">
        <f>IF(LEN(AY53)&gt;0,VLOOKUP(AY53,'1. Lists'!$BU$3:$BW$5,3,FALSE),"")</f>
        <v>3</v>
      </c>
      <c r="AY53" s="138" t="s">
        <v>83</v>
      </c>
      <c r="AZ53" s="139">
        <v>20</v>
      </c>
      <c r="BA53" s="82">
        <f t="shared" si="0"/>
        <v>20</v>
      </c>
      <c r="BC53" s="141">
        <v>0</v>
      </c>
      <c r="BD53" s="141">
        <v>0</v>
      </c>
      <c r="BE53" s="141">
        <v>0</v>
      </c>
      <c r="BF53" s="141">
        <v>0</v>
      </c>
      <c r="BG53" s="141">
        <v>0</v>
      </c>
      <c r="BH53" s="141">
        <v>10</v>
      </c>
      <c r="BI53" s="141">
        <v>0</v>
      </c>
      <c r="BJ53" s="141">
        <v>0</v>
      </c>
      <c r="BK53" s="141">
        <v>0</v>
      </c>
      <c r="BL53" s="141">
        <v>0</v>
      </c>
      <c r="BM53" s="141">
        <v>0</v>
      </c>
      <c r="BN53" s="141">
        <v>10</v>
      </c>
      <c r="BP53" s="66">
        <f t="shared" si="1"/>
        <v>10</v>
      </c>
      <c r="BQ53" s="66">
        <f t="shared" si="2"/>
        <v>20</v>
      </c>
      <c r="BR53" s="66">
        <f t="shared" si="3"/>
        <v>10</v>
      </c>
      <c r="BS53" s="66">
        <v>0</v>
      </c>
      <c r="BU53" s="66">
        <f t="shared" si="4"/>
        <v>10</v>
      </c>
      <c r="BV53" s="66">
        <f t="shared" si="5"/>
        <v>10</v>
      </c>
      <c r="BW53" s="66">
        <f t="shared" si="6"/>
        <v>10</v>
      </c>
    </row>
    <row r="54" spans="1:75" ht="75" x14ac:dyDescent="0.25">
      <c r="A54" s="92">
        <f t="shared" si="7"/>
        <v>51</v>
      </c>
      <c r="B54" s="66">
        <f>IF(LEN(D54)&gt;0,VLOOKUP(D54,'1. Lists'!$E$3:$J$52,6,FALSE),"")</f>
        <v>6</v>
      </c>
      <c r="C54" s="66" t="str">
        <f>IF(LEN(D54)&gt;0,VLOOKUP(D54,'1. Lists'!$E$3:$F$52,2,FALSE),"")</f>
        <v>Office of the Municipal Manager</v>
      </c>
      <c r="D54" s="120" t="s">
        <v>365</v>
      </c>
      <c r="E54" s="121"/>
      <c r="F54" s="65" t="str">
        <f>IF(E54&gt;0,VLOOKUP(E54,'2. Top Layer'!$A:$C,3,FALSE),"")</f>
        <v/>
      </c>
      <c r="G54" s="65" t="str">
        <f>IF(E54&gt;0,VLOOKUP(E54,'2. Top Layer'!$A:$T,17,FALSE),"")</f>
        <v/>
      </c>
      <c r="H54" s="66">
        <f>IF(LEN(I54)&gt;0,VLOOKUP(I54,'1. Lists'!$T:$U,2,FALSE),"")</f>
        <v>64</v>
      </c>
      <c r="I54" s="122" t="s">
        <v>435</v>
      </c>
      <c r="J54" s="123"/>
      <c r="K54" s="66">
        <f>IF(LEN(L54)&gt;0,VLOOKUP(L54,'1. Lists'!$AK:$AL,2,FALSE),"")</f>
        <v>9</v>
      </c>
      <c r="L54" s="124" t="s">
        <v>159</v>
      </c>
      <c r="M54" s="70">
        <f>IF(LEN(N54)&gt;0,VLOOKUP(N54,'1. Lists'!$AN:$AQ,4,FALSE),"")</f>
        <v>2</v>
      </c>
      <c r="N54" s="125" t="s">
        <v>382</v>
      </c>
      <c r="O54" s="66">
        <f>IF(LEN(P54)&gt;0,VLOOKUP(P54,'1. Lists'!$AA:$AC,3,FALSE),"")</f>
        <v>5</v>
      </c>
      <c r="P54" s="134" t="s">
        <v>42</v>
      </c>
      <c r="Q54" s="73">
        <f>IF(LEN(R54)&gt;0,VLOOKUP(R54,'1. Lists'!$W:$Y,3,FALSE),"")</f>
        <v>1</v>
      </c>
      <c r="R54" s="127" t="s">
        <v>169</v>
      </c>
      <c r="S54" s="73">
        <f>IF(LEN(T54)&gt;0,VLOOKUP(T54,'1. Lists'!$AH:$AI,2,FALSE),"")</f>
        <v>11</v>
      </c>
      <c r="T54" s="128" t="s">
        <v>396</v>
      </c>
      <c r="U54" s="76">
        <f>IF(LEN(V54)&gt;0,VLOOKUP(V54,'1. Lists'!$AE:$AF,2,FALSE),"")</f>
        <v>11</v>
      </c>
      <c r="V54" s="129" t="s">
        <v>355</v>
      </c>
      <c r="W54" s="130"/>
      <c r="X54" s="131" t="str">
        <f>IF(W54&gt;0,VLOOKUP($W54,#REF!,4,FALSE),"")</f>
        <v/>
      </c>
      <c r="Y54" s="78" t="str">
        <f>IF(W54&gt;0,VLOOKUP($W54,#REF!,10,FALSE),"")</f>
        <v/>
      </c>
      <c r="Z54" s="150" t="s">
        <v>791</v>
      </c>
      <c r="AA54" s="150" t="s">
        <v>468</v>
      </c>
      <c r="AB54" s="66">
        <f>IF(LEN(AC54)&gt;0,VLOOKUP(AC54,'1. Lists'!$AV$3:$AX$7,3,FALSE),"")</f>
        <v>2</v>
      </c>
      <c r="AC54" s="133" t="s">
        <v>13</v>
      </c>
      <c r="AD54" s="66">
        <f>IF(LEN(AE54)&gt;0,VLOOKUP(AE54,'1. Lists'!$AZ$3:$BB$7,3,FALSE),"")</f>
        <v>2</v>
      </c>
      <c r="AE54" s="122" t="s">
        <v>9</v>
      </c>
      <c r="AF54" s="123"/>
      <c r="AG54" s="123"/>
      <c r="AH54" s="66">
        <f>IF(LEN(AI54)&gt;0,VLOOKUP(AI54,'1. Lists'!$BD$3:$BF$15,3,FALSE),"")</f>
        <v>5</v>
      </c>
      <c r="AI54" s="127" t="s">
        <v>340</v>
      </c>
      <c r="AJ54" s="134" t="s">
        <v>68</v>
      </c>
      <c r="AK54" s="135" t="s">
        <v>461</v>
      </c>
      <c r="AL54" s="125" t="s">
        <v>416</v>
      </c>
      <c r="AM54" s="136">
        <v>10</v>
      </c>
      <c r="AN54" s="123"/>
      <c r="AO54" s="136" t="s">
        <v>601</v>
      </c>
      <c r="AP54" s="137" t="s">
        <v>790</v>
      </c>
      <c r="AQ54" s="123"/>
      <c r="AR54" s="123"/>
      <c r="AS54" s="123"/>
      <c r="AT54" s="123"/>
      <c r="AU54" s="135" t="s">
        <v>460</v>
      </c>
      <c r="AV54" s="80" t="str">
        <f>IF(LEN(AW54)&gt;0,VLOOKUP(AW54,'1. Lists'!$BQ:$BR,2,FALSE),"")</f>
        <v>ACC</v>
      </c>
      <c r="AW54" s="120" t="s">
        <v>14</v>
      </c>
      <c r="AX54" s="80">
        <f>IF(LEN(AY54)&gt;0,VLOOKUP(AY54,'1. Lists'!$BU$3:$BW$5,3,FALSE),"")</f>
        <v>3</v>
      </c>
      <c r="AY54" s="138" t="s">
        <v>83</v>
      </c>
      <c r="AZ54" s="139">
        <v>12</v>
      </c>
      <c r="BA54" s="82">
        <f t="shared" si="0"/>
        <v>12</v>
      </c>
      <c r="BC54" s="141">
        <v>1</v>
      </c>
      <c r="BD54" s="141">
        <v>1</v>
      </c>
      <c r="BE54" s="141">
        <v>1</v>
      </c>
      <c r="BF54" s="141">
        <v>1</v>
      </c>
      <c r="BG54" s="141">
        <v>1</v>
      </c>
      <c r="BH54" s="141">
        <v>1</v>
      </c>
      <c r="BI54" s="141">
        <v>1</v>
      </c>
      <c r="BJ54" s="141">
        <v>1</v>
      </c>
      <c r="BK54" s="141">
        <v>1</v>
      </c>
      <c r="BL54" s="141">
        <v>1</v>
      </c>
      <c r="BM54" s="141">
        <v>1</v>
      </c>
      <c r="BN54" s="141">
        <v>1</v>
      </c>
      <c r="BP54" s="66">
        <f t="shared" si="1"/>
        <v>1</v>
      </c>
      <c r="BQ54" s="66">
        <f t="shared" si="2"/>
        <v>12</v>
      </c>
      <c r="BR54" s="66">
        <f t="shared" si="3"/>
        <v>1</v>
      </c>
      <c r="BS54" s="66">
        <v>0</v>
      </c>
      <c r="BU54" s="66">
        <f t="shared" si="4"/>
        <v>1</v>
      </c>
      <c r="BV54" s="66">
        <f t="shared" si="5"/>
        <v>1</v>
      </c>
      <c r="BW54" s="66">
        <f t="shared" si="6"/>
        <v>1</v>
      </c>
    </row>
    <row r="55" spans="1:75" ht="75" x14ac:dyDescent="0.25">
      <c r="A55" s="92">
        <f t="shared" si="7"/>
        <v>52</v>
      </c>
      <c r="B55" s="66">
        <f>IF(LEN(D55)&gt;0,VLOOKUP(D55,'1. Lists'!$E$3:$J$52,6,FALSE),"")</f>
        <v>6</v>
      </c>
      <c r="C55" s="66" t="str">
        <f>IF(LEN(D55)&gt;0,VLOOKUP(D55,'1. Lists'!$E$3:$F$52,2,FALSE),"")</f>
        <v>Office of the Municipal Manager</v>
      </c>
      <c r="D55" s="120" t="s">
        <v>365</v>
      </c>
      <c r="E55" s="121"/>
      <c r="F55" s="65"/>
      <c r="H55" s="66">
        <f>IF(LEN(I55)&gt;0,VLOOKUP(I55,'1. Lists'!$T:$U,2,FALSE),"")</f>
        <v>67</v>
      </c>
      <c r="I55" s="122" t="s">
        <v>437</v>
      </c>
      <c r="J55" s="123"/>
      <c r="K55" s="66">
        <f>IF(LEN(L55)&gt;0,VLOOKUP(L55,'1. Lists'!$AK:$AL,2,FALSE),"")</f>
        <v>9</v>
      </c>
      <c r="L55" s="124" t="s">
        <v>159</v>
      </c>
      <c r="M55" s="70">
        <f>IF(LEN(N55)&gt;0,VLOOKUP(N55,'1. Lists'!$AN:$AQ,4,FALSE),"")</f>
        <v>2</v>
      </c>
      <c r="N55" s="125" t="s">
        <v>382</v>
      </c>
      <c r="O55" s="66">
        <f>IF(LEN(P55)&gt;0,VLOOKUP(P55,'1. Lists'!$AA:$AC,3,FALSE),"")</f>
        <v>4</v>
      </c>
      <c r="P55" s="134" t="s">
        <v>41</v>
      </c>
      <c r="Q55" s="73">
        <f>IF(LEN(R55)&gt;0,VLOOKUP(R55,'1. Lists'!$W:$Y,3,FALSE),"")</f>
        <v>1</v>
      </c>
      <c r="R55" s="127" t="s">
        <v>169</v>
      </c>
      <c r="S55" s="73">
        <f>IF(LEN(T55)&gt;0,VLOOKUP(T55,'1. Lists'!$AH:$AI,2,FALSE),"")</f>
        <v>11</v>
      </c>
      <c r="T55" s="128" t="s">
        <v>396</v>
      </c>
      <c r="U55" s="76">
        <f>IF(LEN(V55)&gt;0,VLOOKUP(V55,'1. Lists'!$AE:$AF,2,FALSE),"")</f>
        <v>11</v>
      </c>
      <c r="V55" s="129" t="s">
        <v>355</v>
      </c>
      <c r="W55" s="130"/>
      <c r="X55" s="131"/>
      <c r="Z55" s="150" t="s">
        <v>792</v>
      </c>
      <c r="AA55" s="150" t="s">
        <v>739</v>
      </c>
      <c r="AB55" s="66">
        <f>IF(LEN(AC55)&gt;0,VLOOKUP(AC55,'1. Lists'!$AV$3:$AX$7,3,FALSE),"")</f>
        <v>2</v>
      </c>
      <c r="AC55" s="133" t="s">
        <v>13</v>
      </c>
      <c r="AD55" s="66">
        <f>IF(LEN(AE55)&gt;0,VLOOKUP(AE55,'1. Lists'!$AZ$3:$BB$7,3,FALSE),"")</f>
        <v>2</v>
      </c>
      <c r="AE55" s="122" t="s">
        <v>9</v>
      </c>
      <c r="AF55" s="123"/>
      <c r="AG55" s="123"/>
      <c r="AH55" s="66">
        <f>IF(LEN(AI55)&gt;0,VLOOKUP(AI55,'1. Lists'!$BD$3:$BF$15,3,FALSE),"")</f>
        <v>5</v>
      </c>
      <c r="AI55" s="127" t="s">
        <v>340</v>
      </c>
      <c r="AJ55" s="134" t="s">
        <v>68</v>
      </c>
      <c r="AK55" s="135" t="s">
        <v>461</v>
      </c>
      <c r="AL55" s="125" t="s">
        <v>416</v>
      </c>
      <c r="AM55" s="145" t="s">
        <v>762</v>
      </c>
      <c r="AN55" s="123"/>
      <c r="AO55" s="136" t="s">
        <v>565</v>
      </c>
      <c r="AP55" s="137" t="s">
        <v>790</v>
      </c>
      <c r="AQ55" s="123"/>
      <c r="AR55" s="123"/>
      <c r="AS55" s="123"/>
      <c r="AT55" s="123"/>
      <c r="AU55" s="135" t="s">
        <v>460</v>
      </c>
      <c r="AV55" s="80" t="str">
        <f>IF(LEN(AW55)&gt;0,VLOOKUP(AW55,'1. Lists'!$BQ:$BR,2,FALSE),"")</f>
        <v>ACC</v>
      </c>
      <c r="AW55" s="120" t="s">
        <v>14</v>
      </c>
      <c r="AX55" s="80">
        <f>IF(LEN(AY55)&gt;0,VLOOKUP(AY55,'1. Lists'!$BU$3:$BW$5,3,FALSE),"")</f>
        <v>3</v>
      </c>
      <c r="AY55" s="138" t="s">
        <v>83</v>
      </c>
      <c r="AZ55" s="139">
        <v>4</v>
      </c>
      <c r="BA55" s="82">
        <f t="shared" si="0"/>
        <v>4</v>
      </c>
      <c r="BC55" s="141">
        <v>0</v>
      </c>
      <c r="BD55" s="141">
        <v>0</v>
      </c>
      <c r="BE55" s="141">
        <v>1</v>
      </c>
      <c r="BF55" s="141">
        <v>0</v>
      </c>
      <c r="BG55" s="141">
        <v>0</v>
      </c>
      <c r="BH55" s="141">
        <v>1</v>
      </c>
      <c r="BI55" s="141">
        <v>0</v>
      </c>
      <c r="BJ55" s="141">
        <v>0</v>
      </c>
      <c r="BK55" s="141">
        <v>1</v>
      </c>
      <c r="BL55" s="141">
        <v>0</v>
      </c>
      <c r="BM55" s="141">
        <v>0</v>
      </c>
      <c r="BN55" s="141">
        <v>1</v>
      </c>
      <c r="BP55" s="66">
        <f t="shared" si="1"/>
        <v>1</v>
      </c>
      <c r="BQ55" s="66">
        <f t="shared" si="2"/>
        <v>4</v>
      </c>
      <c r="BR55" s="66">
        <f t="shared" si="3"/>
        <v>1</v>
      </c>
      <c r="BU55" s="66">
        <f t="shared" si="4"/>
        <v>1</v>
      </c>
      <c r="BV55" s="66">
        <f t="shared" si="5"/>
        <v>1</v>
      </c>
      <c r="BW55" s="66">
        <f t="shared" si="6"/>
        <v>1</v>
      </c>
    </row>
    <row r="56" spans="1:75" ht="75" x14ac:dyDescent="0.25">
      <c r="A56" s="92">
        <f t="shared" si="7"/>
        <v>53</v>
      </c>
      <c r="B56" s="66">
        <f>IF(LEN(D56)&gt;0,VLOOKUP(D56,'1. Lists'!$E$3:$J$52,6,FALSE),"")</f>
        <v>6</v>
      </c>
      <c r="C56" s="66" t="str">
        <f>IF(LEN(D56)&gt;0,VLOOKUP(D56,'1. Lists'!$E$3:$F$52,2,FALSE),"")</f>
        <v>Office of the Municipal Manager</v>
      </c>
      <c r="D56" s="120" t="s">
        <v>365</v>
      </c>
      <c r="E56" s="121"/>
      <c r="F56" s="65"/>
      <c r="H56" s="66">
        <f>IF(LEN(I56)&gt;0,VLOOKUP(I56,'1. Lists'!$T:$U,2,FALSE),"")</f>
        <v>67</v>
      </c>
      <c r="I56" s="122" t="s">
        <v>437</v>
      </c>
      <c r="J56" s="123"/>
      <c r="K56" s="66">
        <f>IF(LEN(L56)&gt;0,VLOOKUP(L56,'1. Lists'!$AK:$AL,2,FALSE),"")</f>
        <v>9</v>
      </c>
      <c r="L56" s="124" t="s">
        <v>159</v>
      </c>
      <c r="M56" s="70">
        <f>IF(LEN(N56)&gt;0,VLOOKUP(N56,'1. Lists'!$AN:$AQ,4,FALSE),"")</f>
        <v>2</v>
      </c>
      <c r="N56" s="125" t="s">
        <v>382</v>
      </c>
      <c r="O56" s="66">
        <f>IF(LEN(P56)&gt;0,VLOOKUP(P56,'1. Lists'!$AA:$AC,3,FALSE),"")</f>
        <v>4</v>
      </c>
      <c r="P56" s="134" t="s">
        <v>41</v>
      </c>
      <c r="Q56" s="73">
        <f>IF(LEN(R56)&gt;0,VLOOKUP(R56,'1. Lists'!$W:$Y,3,FALSE),"")</f>
        <v>1</v>
      </c>
      <c r="R56" s="127" t="s">
        <v>169</v>
      </c>
      <c r="S56" s="73">
        <f>IF(LEN(T56)&gt;0,VLOOKUP(T56,'1. Lists'!$AH:$AI,2,FALSE),"")</f>
        <v>11</v>
      </c>
      <c r="T56" s="128" t="s">
        <v>396</v>
      </c>
      <c r="U56" s="76">
        <f>IF(LEN(V56)&gt;0,VLOOKUP(V56,'1. Lists'!$AE:$AF,2,FALSE),"")</f>
        <v>11</v>
      </c>
      <c r="V56" s="129" t="s">
        <v>355</v>
      </c>
      <c r="W56" s="130"/>
      <c r="X56" s="131"/>
      <c r="Z56" s="150" t="s">
        <v>793</v>
      </c>
      <c r="AA56" s="150" t="s">
        <v>794</v>
      </c>
      <c r="AB56" s="66">
        <f>IF(LEN(AC56)&gt;0,VLOOKUP(AC56,'1. Lists'!$AV$3:$AX$7,3,FALSE),"")</f>
        <v>2</v>
      </c>
      <c r="AC56" s="133" t="s">
        <v>13</v>
      </c>
      <c r="AD56" s="66">
        <f>IF(LEN(AE56)&gt;0,VLOOKUP(AE56,'1. Lists'!$AZ$3:$BB$7,3,FALSE),"")</f>
        <v>2</v>
      </c>
      <c r="AE56" s="122" t="s">
        <v>9</v>
      </c>
      <c r="AF56" s="123"/>
      <c r="AG56" s="123"/>
      <c r="AH56" s="66">
        <f>IF(LEN(AI56)&gt;0,VLOOKUP(AI56,'1. Lists'!$BD$3:$BF$15,3,FALSE),"")</f>
        <v>5</v>
      </c>
      <c r="AI56" s="127" t="s">
        <v>340</v>
      </c>
      <c r="AJ56" s="134" t="s">
        <v>68</v>
      </c>
      <c r="AK56" s="135" t="s">
        <v>461</v>
      </c>
      <c r="AL56" s="125" t="s">
        <v>416</v>
      </c>
      <c r="AM56" s="145" t="s">
        <v>762</v>
      </c>
      <c r="AN56" s="123"/>
      <c r="AO56" s="136" t="s">
        <v>795</v>
      </c>
      <c r="AP56" s="137" t="s">
        <v>790</v>
      </c>
      <c r="AQ56" s="123"/>
      <c r="AR56" s="123"/>
      <c r="AS56" s="123"/>
      <c r="AT56" s="123"/>
      <c r="AU56" s="135" t="s">
        <v>460</v>
      </c>
      <c r="AV56" s="80" t="str">
        <f>IF(LEN(AW56)&gt;0,VLOOKUP(AW56,'1. Lists'!$BQ:$BR,2,FALSE),"")</f>
        <v>ACC</v>
      </c>
      <c r="AW56" s="120" t="s">
        <v>14</v>
      </c>
      <c r="AX56" s="80">
        <f>IF(LEN(AY56)&gt;0,VLOOKUP(AY56,'1. Lists'!$BU$3:$BW$5,3,FALSE),"")</f>
        <v>3</v>
      </c>
      <c r="AY56" s="138" t="s">
        <v>83</v>
      </c>
      <c r="AZ56" s="139">
        <v>12</v>
      </c>
      <c r="BA56" s="82">
        <f t="shared" si="0"/>
        <v>12</v>
      </c>
      <c r="BC56" s="141">
        <v>1</v>
      </c>
      <c r="BD56" s="141">
        <v>1</v>
      </c>
      <c r="BE56" s="141">
        <v>1</v>
      </c>
      <c r="BF56" s="141">
        <v>1</v>
      </c>
      <c r="BG56" s="141">
        <v>1</v>
      </c>
      <c r="BH56" s="141">
        <v>1</v>
      </c>
      <c r="BI56" s="141">
        <v>1</v>
      </c>
      <c r="BJ56" s="141">
        <v>1</v>
      </c>
      <c r="BK56" s="141">
        <v>1</v>
      </c>
      <c r="BL56" s="141">
        <v>1</v>
      </c>
      <c r="BM56" s="141">
        <v>1</v>
      </c>
      <c r="BN56" s="141">
        <v>1</v>
      </c>
      <c r="BP56" s="66">
        <f t="shared" si="1"/>
        <v>1</v>
      </c>
      <c r="BQ56" s="66">
        <f t="shared" si="2"/>
        <v>12</v>
      </c>
      <c r="BR56" s="66">
        <f t="shared" si="3"/>
        <v>1</v>
      </c>
      <c r="BU56" s="66">
        <f t="shared" si="4"/>
        <v>1</v>
      </c>
      <c r="BV56" s="66">
        <f t="shared" si="5"/>
        <v>1</v>
      </c>
      <c r="BW56" s="66">
        <f t="shared" si="6"/>
        <v>1</v>
      </c>
    </row>
    <row r="57" spans="1:75" ht="75" x14ac:dyDescent="0.25">
      <c r="A57" s="92">
        <f t="shared" si="7"/>
        <v>54</v>
      </c>
      <c r="B57" s="66">
        <f>IF(LEN(D57)&gt;0,VLOOKUP(D57,'1. Lists'!$E$3:$J$52,6,FALSE),"")</f>
        <v>6</v>
      </c>
      <c r="C57" s="66" t="str">
        <f>IF(LEN(D57)&gt;0,VLOOKUP(D57,'1. Lists'!$E$3:$F$52,2,FALSE),"")</f>
        <v>Office of the Municipal Manager</v>
      </c>
      <c r="D57" s="120" t="s">
        <v>365</v>
      </c>
      <c r="E57" s="121"/>
      <c r="F57" s="65"/>
      <c r="H57" s="66">
        <f>IF(LEN(I57)&gt;0,VLOOKUP(I57,'1. Lists'!$T:$U,2,FALSE),"")</f>
        <v>67</v>
      </c>
      <c r="I57" s="122" t="s">
        <v>437</v>
      </c>
      <c r="J57" s="123"/>
      <c r="K57" s="66">
        <f>IF(LEN(L57)&gt;0,VLOOKUP(L57,'1. Lists'!$AK:$AL,2,FALSE),"")</f>
        <v>9</v>
      </c>
      <c r="L57" s="124" t="s">
        <v>159</v>
      </c>
      <c r="M57" s="70">
        <f>IF(LEN(N57)&gt;0,VLOOKUP(N57,'1. Lists'!$AN:$AQ,4,FALSE),"")</f>
        <v>2</v>
      </c>
      <c r="N57" s="125" t="s">
        <v>382</v>
      </c>
      <c r="O57" s="66">
        <f>IF(LEN(P57)&gt;0,VLOOKUP(P57,'1. Lists'!$AA:$AC,3,FALSE),"")</f>
        <v>4</v>
      </c>
      <c r="P57" s="134" t="s">
        <v>41</v>
      </c>
      <c r="Q57" s="73">
        <f>IF(LEN(R57)&gt;0,VLOOKUP(R57,'1. Lists'!$W:$Y,3,FALSE),"")</f>
        <v>1</v>
      </c>
      <c r="R57" s="127" t="s">
        <v>169</v>
      </c>
      <c r="S57" s="73">
        <f>IF(LEN(T57)&gt;0,VLOOKUP(T57,'1. Lists'!$AH:$AI,2,FALSE),"")</f>
        <v>11</v>
      </c>
      <c r="T57" s="128" t="s">
        <v>396</v>
      </c>
      <c r="U57" s="76">
        <f>IF(LEN(V57)&gt;0,VLOOKUP(V57,'1. Lists'!$AE:$AF,2,FALSE),"")</f>
        <v>11</v>
      </c>
      <c r="V57" s="129" t="s">
        <v>355</v>
      </c>
      <c r="W57" s="130"/>
      <c r="X57" s="131"/>
      <c r="Z57" s="150" t="s">
        <v>796</v>
      </c>
      <c r="AA57" s="150" t="s">
        <v>797</v>
      </c>
      <c r="AB57" s="66">
        <f>IF(LEN(AC57)&gt;0,VLOOKUP(AC57,'1. Lists'!$AV$3:$AX$7,3,FALSE),"")</f>
        <v>3</v>
      </c>
      <c r="AC57" s="133" t="s">
        <v>4</v>
      </c>
      <c r="AD57" s="66">
        <f>IF(LEN(AE57)&gt;0,VLOOKUP(AE57,'1. Lists'!$AZ$3:$BB$7,3,FALSE),"")</f>
        <v>2</v>
      </c>
      <c r="AE57" s="122" t="s">
        <v>9</v>
      </c>
      <c r="AF57" s="123"/>
      <c r="AG57" s="123"/>
      <c r="AH57" s="66">
        <f>IF(LEN(AI57)&gt;0,VLOOKUP(AI57,'1. Lists'!$BD$3:$BF$15,3,FALSE),"")</f>
        <v>5</v>
      </c>
      <c r="AI57" s="127" t="s">
        <v>340</v>
      </c>
      <c r="AJ57" s="134" t="s">
        <v>68</v>
      </c>
      <c r="AK57" s="135" t="s">
        <v>461</v>
      </c>
      <c r="AL57" s="125" t="s">
        <v>416</v>
      </c>
      <c r="AM57" s="145" t="s">
        <v>762</v>
      </c>
      <c r="AN57" s="123"/>
      <c r="AO57" s="145">
        <v>0.85</v>
      </c>
      <c r="AP57" s="137" t="s">
        <v>798</v>
      </c>
      <c r="AQ57" s="123"/>
      <c r="AR57" s="123"/>
      <c r="AS57" s="123"/>
      <c r="AT57" s="123"/>
      <c r="AU57" s="135" t="s">
        <v>460</v>
      </c>
      <c r="AV57" s="80" t="str">
        <f>IF(LEN(AW57)&gt;0,VLOOKUP(AW57,'1. Lists'!$BQ:$BR,2,FALSE),"")</f>
        <v>LAST</v>
      </c>
      <c r="AW57" s="120" t="s">
        <v>190</v>
      </c>
      <c r="AX57" s="80">
        <f>IF(LEN(AY57)&gt;0,VLOOKUP(AY57,'1. Lists'!$BU$3:$BW$5,3,FALSE),"")</f>
        <v>2</v>
      </c>
      <c r="AY57" s="138" t="s">
        <v>82</v>
      </c>
      <c r="AZ57" s="139">
        <v>85</v>
      </c>
      <c r="BA57" s="82">
        <f t="shared" si="0"/>
        <v>85</v>
      </c>
      <c r="BC57" s="141">
        <v>0</v>
      </c>
      <c r="BD57" s="141">
        <v>0</v>
      </c>
      <c r="BE57" s="141">
        <v>0</v>
      </c>
      <c r="BF57" s="141">
        <v>0</v>
      </c>
      <c r="BG57" s="141">
        <v>0</v>
      </c>
      <c r="BH57" s="141">
        <v>0</v>
      </c>
      <c r="BI57" s="141">
        <v>0</v>
      </c>
      <c r="BJ57" s="141">
        <v>0</v>
      </c>
      <c r="BK57" s="141">
        <v>0</v>
      </c>
      <c r="BL57" s="141">
        <v>0</v>
      </c>
      <c r="BM57" s="141">
        <v>0</v>
      </c>
      <c r="BN57" s="141">
        <v>85</v>
      </c>
      <c r="BP57" s="66">
        <f t="shared" si="1"/>
        <v>85</v>
      </c>
      <c r="BQ57" s="66">
        <f t="shared" si="2"/>
        <v>85</v>
      </c>
      <c r="BR57" s="66">
        <f t="shared" si="3"/>
        <v>85</v>
      </c>
      <c r="BU57" s="66">
        <f t="shared" si="4"/>
        <v>85</v>
      </c>
      <c r="BV57" s="66">
        <f t="shared" si="5"/>
        <v>85</v>
      </c>
      <c r="BW57" s="66">
        <f t="shared" si="6"/>
        <v>85</v>
      </c>
    </row>
    <row r="58" spans="1:75" ht="75" x14ac:dyDescent="0.25">
      <c r="A58" s="92">
        <f t="shared" si="7"/>
        <v>55</v>
      </c>
      <c r="B58" s="66">
        <f>IF(LEN(D58)&gt;0,VLOOKUP(D58,'1. Lists'!$E$3:$J$52,6,FALSE),"")</f>
        <v>6</v>
      </c>
      <c r="C58" s="66" t="str">
        <f>IF(LEN(D58)&gt;0,VLOOKUP(D58,'1. Lists'!$E$3:$F$52,2,FALSE),"")</f>
        <v>Office of the Municipal Manager</v>
      </c>
      <c r="D58" s="120" t="s">
        <v>365</v>
      </c>
      <c r="E58" s="121"/>
      <c r="F58" s="65"/>
      <c r="H58" s="66">
        <f>IF(LEN(I58)&gt;0,VLOOKUP(I58,'1. Lists'!$T:$U,2,FALSE),"")</f>
        <v>67</v>
      </c>
      <c r="I58" s="122" t="s">
        <v>437</v>
      </c>
      <c r="J58" s="123"/>
      <c r="K58" s="66">
        <f>IF(LEN(L58)&gt;0,VLOOKUP(L58,'1. Lists'!$AK:$AL,2,FALSE),"")</f>
        <v>9</v>
      </c>
      <c r="L58" s="124" t="s">
        <v>159</v>
      </c>
      <c r="M58" s="70">
        <f>IF(LEN(N58)&gt;0,VLOOKUP(N58,'1. Lists'!$AN:$AQ,4,FALSE),"")</f>
        <v>2</v>
      </c>
      <c r="N58" s="125" t="s">
        <v>382</v>
      </c>
      <c r="O58" s="66">
        <f>IF(LEN(P58)&gt;0,VLOOKUP(P58,'1. Lists'!$AA:$AC,3,FALSE),"")</f>
        <v>4</v>
      </c>
      <c r="P58" s="134" t="s">
        <v>41</v>
      </c>
      <c r="Q58" s="73">
        <f>IF(LEN(R58)&gt;0,VLOOKUP(R58,'1. Lists'!$W:$Y,3,FALSE),"")</f>
        <v>1</v>
      </c>
      <c r="R58" s="127" t="s">
        <v>169</v>
      </c>
      <c r="S58" s="73">
        <f>IF(LEN(T58)&gt;0,VLOOKUP(T58,'1. Lists'!$AH:$AI,2,FALSE),"")</f>
        <v>11</v>
      </c>
      <c r="T58" s="128" t="s">
        <v>396</v>
      </c>
      <c r="U58" s="76">
        <f>IF(LEN(V58)&gt;0,VLOOKUP(V58,'1. Lists'!$AE:$AF,2,FALSE),"")</f>
        <v>11</v>
      </c>
      <c r="V58" s="129" t="s">
        <v>355</v>
      </c>
      <c r="W58" s="130"/>
      <c r="X58" s="131"/>
      <c r="Z58" s="150" t="s">
        <v>787</v>
      </c>
      <c r="AA58" s="150" t="s">
        <v>788</v>
      </c>
      <c r="AB58" s="66">
        <f>IF(LEN(AC58)&gt;0,VLOOKUP(AC58,'1. Lists'!$AV$3:$AX$7,3,FALSE),"")</f>
        <v>3</v>
      </c>
      <c r="AC58" s="133" t="s">
        <v>4</v>
      </c>
      <c r="AD58" s="66">
        <f>IF(LEN(AE58)&gt;0,VLOOKUP(AE58,'1. Lists'!$AZ$3:$BB$7,3,FALSE),"")</f>
        <v>2</v>
      </c>
      <c r="AE58" s="122" t="s">
        <v>9</v>
      </c>
      <c r="AF58" s="123"/>
      <c r="AG58" s="123"/>
      <c r="AH58" s="66">
        <f>IF(LEN(AI58)&gt;0,VLOOKUP(AI58,'1. Lists'!$BD$3:$BF$15,3,FALSE),"")</f>
        <v>5</v>
      </c>
      <c r="AI58" s="127" t="s">
        <v>340</v>
      </c>
      <c r="AJ58" s="134" t="s">
        <v>68</v>
      </c>
      <c r="AK58" s="135" t="s">
        <v>461</v>
      </c>
      <c r="AL58" s="125" t="s">
        <v>416</v>
      </c>
      <c r="AM58" s="145" t="s">
        <v>762</v>
      </c>
      <c r="AN58" s="123"/>
      <c r="AO58" s="145" t="s">
        <v>842</v>
      </c>
      <c r="AP58" s="137" t="s">
        <v>790</v>
      </c>
      <c r="AQ58" s="123"/>
      <c r="AR58" s="123"/>
      <c r="AS58" s="123"/>
      <c r="AT58" s="123"/>
      <c r="AU58" s="135" t="s">
        <v>460</v>
      </c>
      <c r="AV58" s="80" t="str">
        <f>IF(LEN(AW58)&gt;0,VLOOKUP(AW58,'1. Lists'!$BQ:$BR,2,FALSE),"")</f>
        <v>LAST</v>
      </c>
      <c r="AW58" s="120" t="s">
        <v>190</v>
      </c>
      <c r="AX58" s="80">
        <f>IF(LEN(AY58)&gt;0,VLOOKUP(AY58,'1. Lists'!$BU$3:$BW$5,3,FALSE),"")</f>
        <v>3</v>
      </c>
      <c r="AY58" s="138" t="s">
        <v>83</v>
      </c>
      <c r="AZ58" s="139">
        <v>1</v>
      </c>
      <c r="BA58" s="82">
        <f t="shared" ref="BA58" si="30">IF(LEN(AZ58)&gt;0,AZ58,"")</f>
        <v>1</v>
      </c>
      <c r="BC58" s="141">
        <v>0</v>
      </c>
      <c r="BD58" s="141">
        <v>0</v>
      </c>
      <c r="BE58" s="141">
        <v>0</v>
      </c>
      <c r="BF58" s="141">
        <v>1</v>
      </c>
      <c r="BG58" s="141">
        <v>0</v>
      </c>
      <c r="BH58" s="141">
        <v>0</v>
      </c>
      <c r="BI58" s="141">
        <v>0</v>
      </c>
      <c r="BJ58" s="141">
        <v>0</v>
      </c>
      <c r="BK58" s="141">
        <v>0</v>
      </c>
      <c r="BL58" s="141">
        <v>0</v>
      </c>
      <c r="BM58" s="141">
        <v>0</v>
      </c>
      <c r="BN58" s="141">
        <v>0</v>
      </c>
      <c r="BP58" s="66">
        <f t="shared" ref="BP58" si="31">MAX(BC58:BN58)</f>
        <v>1</v>
      </c>
      <c r="BQ58" s="66">
        <f t="shared" ref="BQ58" si="32">SUM(BC58:BN58)</f>
        <v>1</v>
      </c>
      <c r="BR58" s="66">
        <f t="shared" ref="BR58" si="33">IF(SUM(BC58:BN58)&gt;0,SUM(BC58:BN58)/COUNTIF(BC58:BN58,"&gt;0"),0)</f>
        <v>1</v>
      </c>
      <c r="BU58" s="66">
        <f t="shared" ref="BU58" si="34">IF(SUM(BC58:BN58)&gt;0,SUM(BC58:BN58)/COUNTIF(BC58:BN58,"&gt;0"),0)</f>
        <v>1</v>
      </c>
      <c r="BV58" s="66">
        <f t="shared" ref="BV58" si="35">IF(BN58&gt;0,BN58,IF(BM58&gt;0,BM58,IF(BL58&gt;0,BL58,IF(BK58&gt;0,BK58,IF(BJ58&gt;0,BJ58,IF(BI58&gt;0,BI58,IF(BH58&gt;0,BH58,IF(BG58&gt;0,BG58,IF(BF58&gt;0,BF58,IF(BE58&gt;0,BE58,IF(BD58&gt;0,BD58,BC58)))))))))))</f>
        <v>1</v>
      </c>
      <c r="BW58" s="66">
        <f t="shared" ref="BW58" si="36">IF(BN58&gt;0,BN58,IF(BM58&gt;0,BM58,IF(BL58&gt;0,BL58,IF(BK58&gt;0,BK58,IF(BJ58&gt;0,BJ58,IF(BI58&gt;0,BI58,IF(BH58&gt;0,BH58,IF(BG58&gt;0,BG58,IF(BF58&gt;0,BF58,IF(BE58&gt;0,BE58,IF(BD58&gt;0,BD58,BC58)))))))))))</f>
        <v>1</v>
      </c>
    </row>
  </sheetData>
  <mergeCells count="16">
    <mergeCell ref="BP2:BW2"/>
    <mergeCell ref="AH2:AI2"/>
    <mergeCell ref="AV2:AW2"/>
    <mergeCell ref="AX2:AY2"/>
    <mergeCell ref="Q2:R2"/>
    <mergeCell ref="S2:T2"/>
    <mergeCell ref="U2:V2"/>
    <mergeCell ref="W2:Y2"/>
    <mergeCell ref="AB2:AC2"/>
    <mergeCell ref="AD2:AE2"/>
    <mergeCell ref="O2:P2"/>
    <mergeCell ref="B2:D2"/>
    <mergeCell ref="E2:G2"/>
    <mergeCell ref="H2:I2"/>
    <mergeCell ref="K2:L2"/>
    <mergeCell ref="M2:N2"/>
  </mergeCells>
  <conditionalFormatting sqref="V12 Z25:AA27 AF25:AG27 T25:T27 V25:V27 AM25:AT27">
    <cfRule type="expression" dxfId="671" priority="276">
      <formula>LEN(T12)&gt;(MID(T$3,1,FIND(" ",T$3)-1)*1)</formula>
    </cfRule>
  </conditionalFormatting>
  <conditionalFormatting sqref="AQ4:AQ5">
    <cfRule type="expression" dxfId="670" priority="271">
      <formula>LEN(AQ4)&gt;(MID(AQ$3,1,FIND(" ",AQ$3)-1)*1)</formula>
    </cfRule>
  </conditionalFormatting>
  <conditionalFormatting sqref="Z7">
    <cfRule type="expression" dxfId="669" priority="223">
      <formula>LEN(Z7)&gt;(MID(Z$3,1,FIND(" ",Z$3)-1)*1)</formula>
    </cfRule>
  </conditionalFormatting>
  <conditionalFormatting sqref="AA7">
    <cfRule type="expression" dxfId="668" priority="222">
      <formula>LEN(AA7)&gt;(MID(AA$3,1,FIND(" ",AA$3)-1)*1)</formula>
    </cfRule>
  </conditionalFormatting>
  <conditionalFormatting sqref="AF7">
    <cfRule type="expression" dxfId="667" priority="221">
      <formula>LEN(AF7)&gt;(MID(AF$3,1,FIND(" ",AF$3)-1)*1)</formula>
    </cfRule>
  </conditionalFormatting>
  <conditionalFormatting sqref="AG7">
    <cfRule type="expression" dxfId="666" priority="220">
      <formula>LEN(AG7)&gt;(MID(AG$3,1,FIND(" ",AG$3)-1)*1)</formula>
    </cfRule>
  </conditionalFormatting>
  <conditionalFormatting sqref="AN7:AO7">
    <cfRule type="expression" dxfId="665" priority="219">
      <formula>LEN(AN7)&gt;(MID(AN$3,1,FIND(" ",AN$3)-1)*1)</formula>
    </cfRule>
  </conditionalFormatting>
  <conditionalFormatting sqref="AP7">
    <cfRule type="expression" dxfId="664" priority="218">
      <formula>LEN(AP7)&gt;(MID(AP$3,1,FIND(" ",AP$3)-1)*1)</formula>
    </cfRule>
  </conditionalFormatting>
  <conditionalFormatting sqref="AQ7">
    <cfRule type="expression" dxfId="663" priority="216">
      <formula>LEN(AQ7)&gt;(MID(AQ$3,1,FIND(" ",AQ$3)-1)*1)</formula>
    </cfRule>
  </conditionalFormatting>
  <conditionalFormatting sqref="AR7">
    <cfRule type="expression" dxfId="662" priority="215">
      <formula>LEN(AR7)&gt;(MID(AR$3,1,FIND(" ",AR$3)-1)*1)</formula>
    </cfRule>
  </conditionalFormatting>
  <conditionalFormatting sqref="AS7">
    <cfRule type="expression" dxfId="661" priority="214">
      <formula>LEN(AS7)&gt;(MID(AS$3,1,FIND(" ",AS$3)-1)*1)</formula>
    </cfRule>
  </conditionalFormatting>
  <conditionalFormatting sqref="AG9">
    <cfRule type="expression" dxfId="660" priority="204">
      <formula>LEN(AG9)&gt;(MID(AG$3,1,FIND(" ",AG$3)-1)*1)</formula>
    </cfRule>
  </conditionalFormatting>
  <conditionalFormatting sqref="AN9">
    <cfRule type="expression" dxfId="659" priority="203">
      <formula>LEN(AN9)&gt;(MID(AN$3,1,FIND(" ",AN$3)-1)*1)</formula>
    </cfRule>
  </conditionalFormatting>
  <conditionalFormatting sqref="AP9">
    <cfRule type="expression" dxfId="658" priority="202">
      <formula>LEN(AP9)&gt;(MID(AP$3,1,FIND(" ",AP$3)-1)*1)</formula>
    </cfRule>
  </conditionalFormatting>
  <conditionalFormatting sqref="AQ9">
    <cfRule type="expression" dxfId="657" priority="201">
      <formula>LEN(AQ9)&gt;(MID(AQ$3,1,FIND(" ",AQ$3)-1)*1)</formula>
    </cfRule>
  </conditionalFormatting>
  <conditionalFormatting sqref="AS9">
    <cfRule type="expression" dxfId="656" priority="200">
      <formula>LEN(AS9)&gt;(MID(AS$3,1,FIND(" ",AS$3)-1)*1)</formula>
    </cfRule>
  </conditionalFormatting>
  <conditionalFormatting sqref="AT9">
    <cfRule type="expression" dxfId="655" priority="199">
      <formula>LEN(AT9)&gt;(MID(AT$3,1,FIND(" ",AT$3)-1)*1)</formula>
    </cfRule>
  </conditionalFormatting>
  <conditionalFormatting sqref="AM9:AM11">
    <cfRule type="expression" dxfId="654" priority="198">
      <formula>LEN(AM9)&gt;(MID(AM$3,1,FIND(" ",AM$3)-1)*1)</formula>
    </cfRule>
  </conditionalFormatting>
  <conditionalFormatting sqref="Z10:AA11 AF10:AG11 V10:V11 AN10:AT11">
    <cfRule type="expression" dxfId="653" priority="196">
      <formula>LEN(V10)&gt;(MID(V$3,1,FIND(" ",V$3)-1)*1)</formula>
    </cfRule>
  </conditionalFormatting>
  <conditionalFormatting sqref="T10:T11 AL25 AU25:AU27 Z25:Z27 I26:I27 L25:L27 N25:N27 P25:P27 R25:R27 T25:T27 V25:V27 AE25:AE26 AC25:AC26 AY25:AY27 AW25:AW27 AI26:AL27 AL28 D4:D57">
    <cfRule type="expression" dxfId="652" priority="193">
      <formula>IF((LEN(D4)+$A4)=$A4,IF($A4&gt;0,TRUE,FALSE),FALSE)</formula>
    </cfRule>
  </conditionalFormatting>
  <conditionalFormatting sqref="Z35:AA38 AF35:AG38 T35:T38 V35:V38 AM35:AT38">
    <cfRule type="expression" dxfId="651" priority="154">
      <formula>LEN(T35)&gt;(MID(T$3,1,FIND(" ",T$3)-1)*1)</formula>
    </cfRule>
  </conditionalFormatting>
  <conditionalFormatting sqref="AI35">
    <cfRule type="expression" dxfId="650" priority="146">
      <formula>IF((LEN(AI35)+$A35)=$A35,IF($A35&gt;0,TRUE,FALSE),FALSE)</formula>
    </cfRule>
  </conditionalFormatting>
  <conditionalFormatting sqref="AB1 Q1 O1 M1 K1 G1:H1 AV1 AX1 B1:C1 AB40:AB45 AD40:AD45 AH40:AH45 U4:U9 AB4:AB15 AD4:AD15 AH4:AH15 AV4:AV15 AX4:AX15 AH17 AD17:AD19 AB17:AB19 AH22:AH24 AD29:AD32 AB29:AB32 B40:C45 F40:H45 K40:K45 M40:M45 O40:O45 Q40:Q45 U40:U45 S40:S45 AV40:AV45 AX40:AX45 AX51:AX53 AV51:AV53 S51:S53 U51:U53 Q51:Q53 O51:O53 M51:M53 K51:K53 F51:H53 B51:C53 AH51:AH53 AD51:AD53 AB51:AB53 G59:H1048576 AB59:AB1048576 B59:C1048576 K59:K1048576 M59:M1048576 O59:O1048576 Q59:Q1048576 U59:U1048576 S59:S1048576 AV59:AV1048576 AX59:AX1048576 B4:C20 F4:H20 K4:K20 M4:M20 O4:O20 Q4:Q20 U12:U20 S4:S20 AD22:AD26 AB22:AB26 AV17:AV20 AX17:AX20 AH26:AH27 AH29:AH32 AX29:AX34 AV29:AV34 S29:S34 U29:U34 Q29:Q34 O29:O34 M29:M34 K29:K34 F29:H34 B29:C34 AX22:AX27 AV22:AV27 S22:S27 U22:U27 Q22:Q27 O22:O27 M22:M27 K22:K27 F22:H27 B22:C27">
    <cfRule type="containsErrors" dxfId="649" priority="352">
      <formula>ISERROR(B1)</formula>
    </cfRule>
  </conditionalFormatting>
  <conditionalFormatting sqref="C40:C45 C51:C53 C4:C20 C29:C34 C22:C27">
    <cfRule type="containsBlanks" dxfId="648" priority="332">
      <formula>LEN(TRIM(C4))=0</formula>
    </cfRule>
    <cfRule type="cellIs" dxfId="647" priority="333" operator="notEqual">
      <formula>$C$1</formula>
    </cfRule>
  </conditionalFormatting>
  <conditionalFormatting sqref="J40:J45 J51:J53 J4:J20 J29:J34 J22:J27">
    <cfRule type="expression" dxfId="646" priority="351">
      <formula>LEN(J4)&gt;(MID($J$3,1,FIND(" ",$J$3)-1)*1)</formula>
    </cfRule>
  </conditionalFormatting>
  <conditionalFormatting sqref="Z4:Z5 AF13:AG20 T13:T20 V13:V20 AM13:AT20 AM29:AT34 V29:V34 T29:T34 AF29:AG34 Z29:AA34 Z40:AA45 AF40:AG45 T40:T45 V40:V45 AM40:AT45 AM51:AT53 V51:V53 T51:T53 AF51:AG53 Z51:AA53 Z13:AA20 Z22:AA24 AM22:AT24 V22:V24 T22:T24 AF22:AG24">
    <cfRule type="expression" dxfId="645" priority="350">
      <formula>LEN(T4)&gt;(MID(T$3,1,FIND(" ",T$3)-1)*1)</formula>
    </cfRule>
  </conditionalFormatting>
  <conditionalFormatting sqref="AA4:AA5">
    <cfRule type="expression" dxfId="644" priority="349">
      <formula>LEN(AA4)&gt;(MID(AA$3,1,FIND(" ",AA$3)-1)*1)</formula>
    </cfRule>
  </conditionalFormatting>
  <conditionalFormatting sqref="AF4:AF5">
    <cfRule type="expression" dxfId="643" priority="348">
      <formula>LEN(AF4)&gt;(MID(AF$3,1,FIND(" ",AF$3)-1)*1)</formula>
    </cfRule>
  </conditionalFormatting>
  <conditionalFormatting sqref="AG4:AG5">
    <cfRule type="expression" dxfId="642" priority="347">
      <formula>LEN(AG4)&gt;(MID(AG$3,1,FIND(" ",AG$3)-1)*1)</formula>
    </cfRule>
  </conditionalFormatting>
  <conditionalFormatting sqref="AM4:AM5 AM12">
    <cfRule type="expression" dxfId="641" priority="346">
      <formula>LEN(AM4)&gt;(MID(AM$3,1,FIND(" ",AM$3)-1)*1)</formula>
    </cfRule>
  </conditionalFormatting>
  <conditionalFormatting sqref="AN4:AN5 AN12">
    <cfRule type="expression" dxfId="640" priority="345">
      <formula>LEN(AN4)&gt;(MID(AN$3,1,FIND(" ",AN$3)-1)*1)</formula>
    </cfRule>
  </conditionalFormatting>
  <conditionalFormatting sqref="AP4:AP5">
    <cfRule type="expression" dxfId="639" priority="344">
      <formula>LEN(AP4)&gt;(MID(AP$3,1,FIND(" ",AP$3)-1)*1)</formula>
    </cfRule>
  </conditionalFormatting>
  <conditionalFormatting sqref="T12">
    <cfRule type="expression" dxfId="638" priority="342">
      <formula>LEN(T12)&gt;(MID(T$3,1,FIND(" ",T$3)-1)*1)</formula>
    </cfRule>
  </conditionalFormatting>
  <conditionalFormatting sqref="Z12">
    <cfRule type="expression" dxfId="637" priority="341">
      <formula>LEN(Z12)&gt;(MID(Z$3,1,FIND(" ",Z$3)-1)*1)</formula>
    </cfRule>
  </conditionalFormatting>
  <conditionalFormatting sqref="AA12">
    <cfRule type="expression" dxfId="636" priority="340">
      <formula>LEN(AA12)&gt;(MID(AA$3,1,FIND(" ",AA$3)-1)*1)</formula>
    </cfRule>
  </conditionalFormatting>
  <conditionalFormatting sqref="AF12">
    <cfRule type="expression" dxfId="635" priority="339">
      <formula>LEN(AF12)&gt;(MID(AF$3,1,FIND(" ",AF$3)-1)*1)</formula>
    </cfRule>
  </conditionalFormatting>
  <conditionalFormatting sqref="AG12">
    <cfRule type="expression" dxfId="634" priority="338">
      <formula>LEN(AG12)&gt;(MID(AG$3,1,FIND(" ",AG$3)-1)*1)</formula>
    </cfRule>
  </conditionalFormatting>
  <conditionalFormatting sqref="AM12">
    <cfRule type="expression" dxfId="633" priority="337">
      <formula>LEN(AM12)&gt;(MID(AM$3,1,FIND(" ",AM$3)-1)*1)</formula>
    </cfRule>
  </conditionalFormatting>
  <conditionalFormatting sqref="AN12:AO12">
    <cfRule type="expression" dxfId="632" priority="336">
      <formula>LEN(AN12)&gt;(MID(AN$3,1,FIND(" ",AN$3)-1)*1)</formula>
    </cfRule>
  </conditionalFormatting>
  <conditionalFormatting sqref="AP12">
    <cfRule type="expression" dxfId="631" priority="335">
      <formula>LEN(AP12)&gt;(MID(AP$3,1,FIND(" ",AP$3)-1)*1)</formula>
    </cfRule>
  </conditionalFormatting>
  <conditionalFormatting sqref="C40:C45 C51:C53 C12:C20 C29:C34 C22:C27">
    <cfRule type="containsBlanks" dxfId="630" priority="343">
      <formula>LEN(TRIM(C12))=0</formula>
    </cfRule>
  </conditionalFormatting>
  <conditionalFormatting sqref="AI4:AL5 AI12:AI13 AJ12:AL15 AI40:AL44 AU12:AU20 AY4:AY5 AW4:AW5 AE4:AE5 AC4:AC5 Z4:Z5 T4:T5 AC40:AC45 AE40:AE45 AC12:AC15 AE12:AE15 AW12:AW15 AY12:AY15 V4:V9 AL6:AL11 AJ17:AL17 I4:I16 L4:L20 N4:N20 P4:P20 R4:R20 T12:T20 V12:V20 AE17:AE19 AC17:AC19 AC22:AC24 AE22:AE24 AJ22:AL24 AY17:AY20 AW17:AW20 AW29:AW34 AY29:AY34 AJ29:AL32 AE29:AE32 AC29:AC32 V29:V34 T29:T34 R29:R34 P29:P34 N29:N34 L29:L34 I29:I34 Z29:Z34 AU29:AU34 AU40:AU45 Z40:Z45 I40:I45 L40:L45 N40:N45 P40:P45 R40:R45 T40:T45 V40:V45 AY40:AY45 AW40:AW45 AW51:AW53 AY51:AY53 V51:V53 T51:T53 R51:R53 P51:P53 N51:N53 L51:L53 I51:I53 Z51:Z53 AU51:AU53 AE51:AE53 AC51:AC53 AI51:AL53 AI45:AK45 AL54:AL57 I18:I20 Z12:Z20 AL45:AL50 Z22:Z24 I22:I24 AW22:AW24 AY22:AY24 V22:V24 T22:T24 R22:R24 P22:P24 N22:N24 L22:L24 AU22:AU24">
    <cfRule type="expression" dxfId="629" priority="334">
      <formula>IF((LEN(I4)+$A4)=$A4,IF($A4&gt;0,TRUE,FALSE),FALSE)</formula>
    </cfRule>
  </conditionalFormatting>
  <conditionalFormatting sqref="X4:X5 X40:X45 X51:X53 X12:X20 X29:X34 X22:X27">
    <cfRule type="expression" dxfId="628" priority="331">
      <formula>IF(LEN(W4)&gt;0,IF(X4&lt;&gt;D4,TRUE,FALSE),FALSE)</formula>
    </cfRule>
  </conditionalFormatting>
  <conditionalFormatting sqref="X4:Y5 X40:Y45 X51:Y53 X12:Y20 X29:Y34 X22:Y27">
    <cfRule type="containsErrors" dxfId="627" priority="330">
      <formula>ISERROR(X4)</formula>
    </cfRule>
  </conditionalFormatting>
  <conditionalFormatting sqref="AI14 AI29:AI32">
    <cfRule type="expression" dxfId="626" priority="329">
      <formula>IF((LEN(AI14)+$A14)=$A14,IF($A14&gt;0,TRUE,FALSE),FALSE)</formula>
    </cfRule>
  </conditionalFormatting>
  <conditionalFormatting sqref="S1">
    <cfRule type="containsErrors" dxfId="625" priority="277">
      <formula>ISERROR(S1)</formula>
    </cfRule>
  </conditionalFormatting>
  <conditionalFormatting sqref="U1">
    <cfRule type="containsErrors" dxfId="624" priority="272">
      <formula>ISERROR(U1)</formula>
    </cfRule>
  </conditionalFormatting>
  <conditionalFormatting sqref="AQ12">
    <cfRule type="expression" dxfId="623" priority="270">
      <formula>LEN(AQ12)&gt;(MID(AQ$3,1,FIND(" ",AQ$3)-1)*1)</formula>
    </cfRule>
  </conditionalFormatting>
  <conditionalFormatting sqref="AU4:AU5">
    <cfRule type="expression" dxfId="622" priority="266">
      <formula>IF((LEN(AU4)+$A4)=$A4,IF($A4&gt;0,TRUE,FALSE),FALSE)</formula>
    </cfRule>
  </conditionalFormatting>
  <conditionalFormatting sqref="F3:G3 AV3 AX3 B3:C3">
    <cfRule type="containsErrors" dxfId="621" priority="262">
      <formula>ISERROR(B3)</formula>
    </cfRule>
  </conditionalFormatting>
  <conditionalFormatting sqref="AS4:AS5">
    <cfRule type="expression" dxfId="620" priority="261">
      <formula>LEN(AS4)&gt;(MID(AS$3,1,FIND(" ",AS$3)-1)*1)</formula>
    </cfRule>
  </conditionalFormatting>
  <conditionalFormatting sqref="AR12">
    <cfRule type="expression" dxfId="619" priority="260">
      <formula>LEN(AR12)&gt;(MID(AR$3,1,FIND(" ",AR$3)-1)*1)</formula>
    </cfRule>
  </conditionalFormatting>
  <conditionalFormatting sqref="AS12">
    <cfRule type="expression" dxfId="618" priority="259">
      <formula>LEN(AS12)&gt;(MID(AS$3,1,FIND(" ",AS$3)-1)*1)</formula>
    </cfRule>
  </conditionalFormatting>
  <conditionalFormatting sqref="AT4:AT5">
    <cfRule type="expression" dxfId="617" priority="252">
      <formula>LEN(AT4)&gt;(MID(AT$3,1,FIND(" ",AT$3)-1)*1)</formula>
    </cfRule>
  </conditionalFormatting>
  <conditionalFormatting sqref="AT12">
    <cfRule type="expression" dxfId="616" priority="251">
      <formula>LEN(AT12)&gt;(MID(AT$3,1,FIND(" ",AT$3)-1)*1)</formula>
    </cfRule>
  </conditionalFormatting>
  <conditionalFormatting sqref="BP4 BP5:BW5 BP12:BW20 BP51:BW57 BP40:BW49 BP29:BW38 BP22:BW27">
    <cfRule type="expression" dxfId="615" priority="247">
      <formula>IF(BP$3=$AV4,TRUE,FALSE)</formula>
    </cfRule>
  </conditionalFormatting>
  <conditionalFormatting sqref="BQ4:BW4">
    <cfRule type="expression" dxfId="614" priority="246">
      <formula>IF(BQ$3=$AV4,TRUE,FALSE)</formula>
    </cfRule>
  </conditionalFormatting>
  <conditionalFormatting sqref="AI15 AI17 AI22:AI24">
    <cfRule type="expression" dxfId="613" priority="245">
      <formula>IF((LEN(AI15)+$A15)=$A15,IF($A15&gt;0,TRUE,FALSE),FALSE)</formula>
    </cfRule>
  </conditionalFormatting>
  <conditionalFormatting sqref="AD33 AB33">
    <cfRule type="containsErrors" dxfId="612" priority="244">
      <formula>ISERROR(AB33)</formula>
    </cfRule>
  </conditionalFormatting>
  <conditionalFormatting sqref="AE33 AC33">
    <cfRule type="expression" dxfId="611" priority="243">
      <formula>IF((LEN(AC33)+$A33)=$A33,IF($A33&gt;0,TRUE,FALSE),FALSE)</formula>
    </cfRule>
  </conditionalFormatting>
  <conditionalFormatting sqref="AD34 AB34">
    <cfRule type="containsErrors" dxfId="610" priority="242">
      <formula>ISERROR(AB34)</formula>
    </cfRule>
  </conditionalFormatting>
  <conditionalFormatting sqref="AE34 AC34">
    <cfRule type="expression" dxfId="609" priority="241">
      <formula>IF((LEN(AC34)+$A34)=$A34,IF($A34&gt;0,TRUE,FALSE),FALSE)</formula>
    </cfRule>
  </conditionalFormatting>
  <conditionalFormatting sqref="AH33:AH34">
    <cfRule type="containsErrors" dxfId="608" priority="240">
      <formula>ISERROR(AH33)</formula>
    </cfRule>
  </conditionalFormatting>
  <conditionalFormatting sqref="AJ33:AL34 AL35:AL39">
    <cfRule type="expression" dxfId="607" priority="239">
      <formula>IF((LEN(AJ33)+$A33)=$A33,IF($A33&gt;0,TRUE,FALSE),FALSE)</formula>
    </cfRule>
  </conditionalFormatting>
  <conditionalFormatting sqref="AI33:AI34">
    <cfRule type="expression" dxfId="606" priority="238">
      <formula>IF((LEN(AI33)+$A33)=$A33,IF($A33&gt;0,TRUE,FALSE),FALSE)</formula>
    </cfRule>
  </conditionalFormatting>
  <conditionalFormatting sqref="Z6 AN6">
    <cfRule type="expression" dxfId="605" priority="237">
      <formula>LEN(Z6)&gt;(MID(Z$3,1,FIND(" ",Z$3)-1)*1)</formula>
    </cfRule>
  </conditionalFormatting>
  <conditionalFormatting sqref="AA6">
    <cfRule type="expression" dxfId="604" priority="236">
      <formula>LEN(AA6)&gt;(MID(AA$3,1,FIND(" ",AA$3)-1)*1)</formula>
    </cfRule>
  </conditionalFormatting>
  <conditionalFormatting sqref="AF6">
    <cfRule type="expression" dxfId="603" priority="235">
      <formula>LEN(AF6)&gt;(MID(AF$3,1,FIND(" ",AF$3)-1)*1)</formula>
    </cfRule>
  </conditionalFormatting>
  <conditionalFormatting sqref="AG6">
    <cfRule type="expression" dxfId="602" priority="234">
      <formula>LEN(AG6)&gt;(MID(AG$3,1,FIND(" ",AG$3)-1)*1)</formula>
    </cfRule>
  </conditionalFormatting>
  <conditionalFormatting sqref="AP6">
    <cfRule type="expression" dxfId="601" priority="233">
      <formula>LEN(AP6)&gt;(MID(AP$3,1,FIND(" ",AP$3)-1)*1)</formula>
    </cfRule>
  </conditionalFormatting>
  <conditionalFormatting sqref="Z6 AC6 AE6 AW6 AY6 AI6:AK6 T6:T7">
    <cfRule type="expression" dxfId="600" priority="232">
      <formula>IF((LEN(T6)+$A6)=$A6,IF($A6&gt;0,TRUE,FALSE),FALSE)</formula>
    </cfRule>
  </conditionalFormatting>
  <conditionalFormatting sqref="X6:X11">
    <cfRule type="expression" dxfId="599" priority="231">
      <formula>IF(LEN(W6)&gt;0,IF(X6&lt;&gt;D6,TRUE,FALSE),FALSE)</formula>
    </cfRule>
  </conditionalFormatting>
  <conditionalFormatting sqref="X6:Y11">
    <cfRule type="containsErrors" dxfId="598" priority="230">
      <formula>ISERROR(X6)</formula>
    </cfRule>
  </conditionalFormatting>
  <conditionalFormatting sqref="AQ6">
    <cfRule type="expression" dxfId="597" priority="229">
      <formula>LEN(AQ6)&gt;(MID(AQ$3,1,FIND(" ",AQ$3)-1)*1)</formula>
    </cfRule>
  </conditionalFormatting>
  <conditionalFormatting sqref="AS6">
    <cfRule type="expression" dxfId="596" priority="228">
      <formula>LEN(AS6)&gt;(MID(AS$3,1,FIND(" ",AS$3)-1)*1)</formula>
    </cfRule>
  </conditionalFormatting>
  <conditionalFormatting sqref="AT6">
    <cfRule type="expression" dxfId="595" priority="227">
      <formula>LEN(AT6)&gt;(MID(AT$3,1,FIND(" ",AT$3)-1)*1)</formula>
    </cfRule>
  </conditionalFormatting>
  <conditionalFormatting sqref="BP6">
    <cfRule type="expression" dxfId="594" priority="226">
      <formula>IF(BP$3=$AV6,TRUE,FALSE)</formula>
    </cfRule>
  </conditionalFormatting>
  <conditionalFormatting sqref="BQ6:BW6">
    <cfRule type="expression" dxfId="593" priority="225">
      <formula>IF(BQ$3=$AV6,TRUE,FALSE)</formula>
    </cfRule>
  </conditionalFormatting>
  <conditionalFormatting sqref="AN7">
    <cfRule type="expression" dxfId="592" priority="224">
      <formula>LEN(AN7)&gt;(MID(AN$3,1,FIND(" ",AN$3)-1)*1)</formula>
    </cfRule>
  </conditionalFormatting>
  <conditionalFormatting sqref="Z7 AC7 AE7 AW7 AY7 AI7:AK7">
    <cfRule type="expression" dxfId="591" priority="217">
      <formula>IF((LEN(Z7)+$A7)=$A7,IF($A7&gt;0,TRUE,FALSE),FALSE)</formula>
    </cfRule>
  </conditionalFormatting>
  <conditionalFormatting sqref="AT7">
    <cfRule type="expression" dxfId="590" priority="213">
      <formula>LEN(AT7)&gt;(MID(AT$3,1,FIND(" ",AT$3)-1)*1)</formula>
    </cfRule>
  </conditionalFormatting>
  <conditionalFormatting sqref="BP7:BW7">
    <cfRule type="expression" dxfId="589" priority="212">
      <formula>IF(BP$3=$AV7,TRUE,FALSE)</formula>
    </cfRule>
  </conditionalFormatting>
  <conditionalFormatting sqref="Z8:AA8 AF8:AG8 AN8:AT8 T8:T9">
    <cfRule type="expression" dxfId="588" priority="211">
      <formula>LEN(T8)&gt;(MID(T$3,1,FIND(" ",T$3)-1)*1)</formula>
    </cfRule>
  </conditionalFormatting>
  <conditionalFormatting sqref="Z8 AC8 AE8 AW8 AY8 AI8:AK8 T8:T9 AI9">
    <cfRule type="expression" dxfId="587" priority="210">
      <formula>IF((LEN(T8)+$A8)=$A8,IF($A8&gt;0,TRUE,FALSE),FALSE)</formula>
    </cfRule>
  </conditionalFormatting>
  <conditionalFormatting sqref="BP8:BW8">
    <cfRule type="expression" dxfId="586" priority="209">
      <formula>IF(BP$3=$AV8,TRUE,FALSE)</formula>
    </cfRule>
  </conditionalFormatting>
  <conditionalFormatting sqref="AC9 AE9 Z9 AW9 AY9">
    <cfRule type="expression" dxfId="585" priority="208">
      <formula>IF((LEN(Z9)+$A9)=$A9,IF($A9&gt;0,TRUE,FALSE),FALSE)</formula>
    </cfRule>
  </conditionalFormatting>
  <conditionalFormatting sqref="Z9">
    <cfRule type="expression" dxfId="584" priority="207">
      <formula>LEN(Z9)&gt;(MID(Z$3,1,FIND(" ",Z$3)-1)*1)</formula>
    </cfRule>
  </conditionalFormatting>
  <conditionalFormatting sqref="AA9">
    <cfRule type="expression" dxfId="583" priority="206">
      <formula>LEN(AA9)&gt;(MID(AA$3,1,FIND(" ",AA$3)-1)*1)</formula>
    </cfRule>
  </conditionalFormatting>
  <conditionalFormatting sqref="AF9">
    <cfRule type="expression" dxfId="582" priority="205">
      <formula>LEN(AF9)&gt;(MID(AF$3,1,FIND(" ",AF$3)-1)*1)</formula>
    </cfRule>
  </conditionalFormatting>
  <conditionalFormatting sqref="U10:U11">
    <cfRule type="containsErrors" dxfId="581" priority="197">
      <formula>ISERROR(U10)</formula>
    </cfRule>
  </conditionalFormatting>
  <conditionalFormatting sqref="V10:V11 Z10:Z11 AC10:AC11 AE10:AE11 AW10:AW11 AY10:AY11 AI10:AK11">
    <cfRule type="expression" dxfId="580" priority="195">
      <formula>IF((LEN(V10)+$A10)=$A10,IF($A10&gt;0,TRUE,FALSE),FALSE)</formula>
    </cfRule>
  </conditionalFormatting>
  <conditionalFormatting sqref="BP10:BW11">
    <cfRule type="expression" dxfId="579" priority="194">
      <formula>IF(BP$3=$AV10,TRUE,FALSE)</formula>
    </cfRule>
  </conditionalFormatting>
  <conditionalFormatting sqref="AJ9:AK9">
    <cfRule type="expression" dxfId="578" priority="192">
      <formula>IF((LEN(AJ9)+$A9)=$A9,IF($A9&gt;0,TRUE,FALSE),FALSE)</formula>
    </cfRule>
  </conditionalFormatting>
  <conditionalFormatting sqref="AM7:AM8">
    <cfRule type="expression" dxfId="577" priority="191">
      <formula>LEN(AM7)&gt;(MID(AM$3,1,FIND(" ",AM$3)-1)*1)</formula>
    </cfRule>
  </conditionalFormatting>
  <conditionalFormatting sqref="AM6">
    <cfRule type="expression" dxfId="576" priority="190">
      <formula>LEN(AM6)&gt;(MID(AM$3,1,FIND(" ",AM$3)-1)*1)</formula>
    </cfRule>
  </conditionalFormatting>
  <conditionalFormatting sqref="AU6:AU11">
    <cfRule type="expression" dxfId="575" priority="189">
      <formula>IF((LEN(AU6)+$A6)=$A6,IF($A6&gt;0,TRUE,FALSE),FALSE)</formula>
    </cfRule>
  </conditionalFormatting>
  <conditionalFormatting sqref="AB16 AD16">
    <cfRule type="containsErrors" dxfId="574" priority="188">
      <formula>ISERROR(AB16)</formula>
    </cfRule>
  </conditionalFormatting>
  <conditionalFormatting sqref="AC16 AE16">
    <cfRule type="expression" dxfId="573" priority="187">
      <formula>IF((LEN(AC16)+$A16)=$A16,IF($A16&gt;0,TRUE,FALSE),FALSE)</formula>
    </cfRule>
  </conditionalFormatting>
  <conditionalFormatting sqref="AH16">
    <cfRule type="containsErrors" dxfId="572" priority="186">
      <formula>ISERROR(AH16)</formula>
    </cfRule>
  </conditionalFormatting>
  <conditionalFormatting sqref="AJ16:AL16">
    <cfRule type="expression" dxfId="571" priority="185">
      <formula>IF((LEN(AJ16)+$A16)=$A16,IF($A16&gt;0,TRUE,FALSE),FALSE)</formula>
    </cfRule>
  </conditionalFormatting>
  <conditionalFormatting sqref="AI16">
    <cfRule type="expression" dxfId="570" priority="184">
      <formula>IF((LEN(AI16)+$A16)=$A16,IF($A16&gt;0,TRUE,FALSE),FALSE)</formula>
    </cfRule>
  </conditionalFormatting>
  <conditionalFormatting sqref="AV16 AX16">
    <cfRule type="containsErrors" dxfId="569" priority="183">
      <formula>ISERROR(AV16)</formula>
    </cfRule>
  </conditionalFormatting>
  <conditionalFormatting sqref="AW16 AY16">
    <cfRule type="expression" dxfId="568" priority="182">
      <formula>IF((LEN(AW16)+$A16)=$A16,IF($A16&gt;0,TRUE,FALSE),FALSE)</formula>
    </cfRule>
  </conditionalFormatting>
  <conditionalFormatting sqref="AB20 AD20">
    <cfRule type="containsErrors" dxfId="567" priority="181">
      <formula>ISERROR(AB20)</formula>
    </cfRule>
  </conditionalFormatting>
  <conditionalFormatting sqref="AC20 AE20">
    <cfRule type="expression" dxfId="566" priority="180">
      <formula>IF((LEN(AC20)+$A20)=$A20,IF($A20&gt;0,TRUE,FALSE),FALSE)</formula>
    </cfRule>
  </conditionalFormatting>
  <conditionalFormatting sqref="AH18:AH20">
    <cfRule type="containsErrors" dxfId="565" priority="179">
      <formula>ISERROR(AH18)</formula>
    </cfRule>
  </conditionalFormatting>
  <conditionalFormatting sqref="AJ18:AL20 AL21">
    <cfRule type="expression" dxfId="564" priority="178">
      <formula>IF((LEN(AJ18)+$A18)=$A18,IF($A18&gt;0,TRUE,FALSE),FALSE)</formula>
    </cfRule>
  </conditionalFormatting>
  <conditionalFormatting sqref="AI18:AI20">
    <cfRule type="expression" dxfId="563" priority="177">
      <formula>IF((LEN(AI18)+$A18)=$A18,IF($A18&gt;0,TRUE,FALSE),FALSE)</formula>
    </cfRule>
  </conditionalFormatting>
  <conditionalFormatting sqref="AH25">
    <cfRule type="containsErrors" dxfId="562" priority="174">
      <formula>ISERROR(AH25)</formula>
    </cfRule>
  </conditionalFormatting>
  <conditionalFormatting sqref="AJ25:AK25">
    <cfRule type="expression" dxfId="561" priority="170">
      <formula>IF((LEN(AJ25)+$A25)=$A25,IF($A25&gt;0,TRUE,FALSE),FALSE)</formula>
    </cfRule>
  </conditionalFormatting>
  <conditionalFormatting sqref="AI25">
    <cfRule type="expression" dxfId="560" priority="164">
      <formula>IF((LEN(AI25)+$A25)=$A25,IF($A25&gt;0,TRUE,FALSE),FALSE)</formula>
    </cfRule>
  </conditionalFormatting>
  <conditionalFormatting sqref="AB27 AD27">
    <cfRule type="containsErrors" dxfId="559" priority="163">
      <formula>ISERROR(AB27)</formula>
    </cfRule>
  </conditionalFormatting>
  <conditionalFormatting sqref="AC27 AE27">
    <cfRule type="expression" dxfId="558" priority="162">
      <formula>IF((LEN(AC27)+$A27)=$A27,IF($A27&gt;0,TRUE,FALSE),FALSE)</formula>
    </cfRule>
  </conditionalFormatting>
  <conditionalFormatting sqref="AH35 B35:C38 F35:H38 K35:K38 M35:M38 O35:O38 Q35:Q38 U35:U38 S35:S38 AD35:AD37 AB35:AB37 AV35:AV38 AX35:AX38">
    <cfRule type="containsErrors" dxfId="557" priority="156">
      <formula>ISERROR(B35)</formula>
    </cfRule>
  </conditionalFormatting>
  <conditionalFormatting sqref="C35:C38">
    <cfRule type="containsBlanks" dxfId="556" priority="150">
      <formula>LEN(TRIM(C35))=0</formula>
    </cfRule>
    <cfRule type="cellIs" dxfId="555" priority="151" operator="notEqual">
      <formula>$C$1</formula>
    </cfRule>
  </conditionalFormatting>
  <conditionalFormatting sqref="J35:J38">
    <cfRule type="expression" dxfId="554" priority="155">
      <formula>LEN(J35)&gt;(MID($J$3,1,FIND(" ",$J$3)-1)*1)</formula>
    </cfRule>
  </conditionalFormatting>
  <conditionalFormatting sqref="C35:C38">
    <cfRule type="containsBlanks" dxfId="553" priority="153">
      <formula>LEN(TRIM(C35))=0</formula>
    </cfRule>
  </conditionalFormatting>
  <conditionalFormatting sqref="AU35:AU38 Z35:Z38 AJ35:AK35 I36:I38 L35:L38 N35:N38 P35:P38 R35:R38 T35:T38 V35:V38 AE35:AE37 AC35:AC37 AY35:AY38 AW35:AW38">
    <cfRule type="expression" dxfId="552" priority="152">
      <formula>IF((LEN(I35)+$A35)=$A35,IF($A35&gt;0,TRUE,FALSE),FALSE)</formula>
    </cfRule>
  </conditionalFormatting>
  <conditionalFormatting sqref="X35:X38">
    <cfRule type="expression" dxfId="551" priority="149">
      <formula>IF(LEN(W35)&gt;0,IF(X35&lt;&gt;D35,TRUE,FALSE),FALSE)</formula>
    </cfRule>
  </conditionalFormatting>
  <conditionalFormatting sqref="X35:Y38">
    <cfRule type="containsErrors" dxfId="550" priority="148">
      <formula>ISERROR(X35)</formula>
    </cfRule>
  </conditionalFormatting>
  <conditionalFormatting sqref="AB38 AD38">
    <cfRule type="containsErrors" dxfId="549" priority="145">
      <formula>ISERROR(AB38)</formula>
    </cfRule>
  </conditionalFormatting>
  <conditionalFormatting sqref="AC38 AE38">
    <cfRule type="expression" dxfId="548" priority="144">
      <formula>IF((LEN(AC38)+$A38)=$A38,IF($A38&gt;0,TRUE,FALSE),FALSE)</formula>
    </cfRule>
  </conditionalFormatting>
  <conditionalFormatting sqref="AH36:AH38">
    <cfRule type="containsErrors" dxfId="547" priority="143">
      <formula>ISERROR(AH36)</formula>
    </cfRule>
  </conditionalFormatting>
  <conditionalFormatting sqref="AJ36:AK38">
    <cfRule type="expression" dxfId="546" priority="142">
      <formula>IF((LEN(AJ36)+$A36)=$A36,IF($A36&gt;0,TRUE,FALSE),FALSE)</formula>
    </cfRule>
  </conditionalFormatting>
  <conditionalFormatting sqref="AI36:AI38">
    <cfRule type="expression" dxfId="545" priority="141">
      <formula>IF((LEN(AI36)+$A36)=$A36,IF($A36&gt;0,TRUE,FALSE),FALSE)</formula>
    </cfRule>
  </conditionalFormatting>
  <conditionalFormatting sqref="AH46 B46:C49 F46:H49 K46:K49 M46:M49 O46:O49 Q46:Q49 U46:U49 S46:S49 AD46:AD48 AB46:AB48 AV46:AV49 AX46:AX49">
    <cfRule type="containsErrors" dxfId="544" priority="138">
      <formula>ISERROR(B46)</formula>
    </cfRule>
  </conditionalFormatting>
  <conditionalFormatting sqref="C46:C49">
    <cfRule type="containsBlanks" dxfId="543" priority="132">
      <formula>LEN(TRIM(C46))=0</formula>
    </cfRule>
    <cfRule type="cellIs" dxfId="542" priority="133" operator="notEqual">
      <formula>$C$1</formula>
    </cfRule>
  </conditionalFormatting>
  <conditionalFormatting sqref="J46:J49">
    <cfRule type="expression" dxfId="541" priority="137">
      <formula>LEN(J46)&gt;(MID($J$3,1,FIND(" ",$J$3)-1)*1)</formula>
    </cfRule>
  </conditionalFormatting>
  <conditionalFormatting sqref="Z46:AA49 AF46:AG49 T46:T49 V46:V49 AM46:AT49">
    <cfRule type="expression" dxfId="540" priority="136">
      <formula>LEN(T46)&gt;(MID(T$3,1,FIND(" ",T$3)-1)*1)</formula>
    </cfRule>
  </conditionalFormatting>
  <conditionalFormatting sqref="C46:C49">
    <cfRule type="containsBlanks" dxfId="539" priority="135">
      <formula>LEN(TRIM(C46))=0</formula>
    </cfRule>
  </conditionalFormatting>
  <conditionalFormatting sqref="AU46:AU49 Z46:Z49 AJ46:AK46 I47:I49 L46:L49 N46:N49 P46:P49 R46:R49 T46:T49 V46:V49 AE46:AE48 AC46:AC48 AY46:AY49 AW46:AW49">
    <cfRule type="expression" dxfId="538" priority="134">
      <formula>IF((LEN(I46)+$A46)=$A46,IF($A46&gt;0,TRUE,FALSE),FALSE)</formula>
    </cfRule>
  </conditionalFormatting>
  <conditionalFormatting sqref="X46:X49">
    <cfRule type="expression" dxfId="537" priority="131">
      <formula>IF(LEN(W46)&gt;0,IF(X46&lt;&gt;D46,TRUE,FALSE),FALSE)</formula>
    </cfRule>
  </conditionalFormatting>
  <conditionalFormatting sqref="X46:Y49">
    <cfRule type="containsErrors" dxfId="536" priority="130">
      <formula>ISERROR(X46)</formula>
    </cfRule>
  </conditionalFormatting>
  <conditionalFormatting sqref="AI46">
    <cfRule type="expression" dxfId="535" priority="128">
      <formula>IF((LEN(AI46)+$A46)=$A46,IF($A46&gt;0,TRUE,FALSE),FALSE)</formula>
    </cfRule>
  </conditionalFormatting>
  <conditionalFormatting sqref="AB49 AD49">
    <cfRule type="containsErrors" dxfId="534" priority="127">
      <formula>ISERROR(AB49)</formula>
    </cfRule>
  </conditionalFormatting>
  <conditionalFormatting sqref="AC49 AE49">
    <cfRule type="expression" dxfId="533" priority="126">
      <formula>IF((LEN(AC49)+$A49)=$A49,IF($A49&gt;0,TRUE,FALSE),FALSE)</formula>
    </cfRule>
  </conditionalFormatting>
  <conditionalFormatting sqref="AH47:AH49">
    <cfRule type="containsErrors" dxfId="532" priority="125">
      <formula>ISERROR(AH47)</formula>
    </cfRule>
  </conditionalFormatting>
  <conditionalFormatting sqref="AJ47:AK49">
    <cfRule type="expression" dxfId="531" priority="124">
      <formula>IF((LEN(AJ47)+$A47)=$A47,IF($A47&gt;0,TRUE,FALSE),FALSE)</formula>
    </cfRule>
  </conditionalFormatting>
  <conditionalFormatting sqref="AI47:AI49">
    <cfRule type="expression" dxfId="530" priority="123">
      <formula>IF((LEN(AI47)+$A47)=$A47,IF($A47&gt;0,TRUE,FALSE),FALSE)</formula>
    </cfRule>
  </conditionalFormatting>
  <conditionalFormatting sqref="AH54 B54:C57 F54:H57 K54:K57 M54:M57 O54:O57 Q54:Q57 U54:U57 S54:S57 AD54:AD56 AB54:AB56 AV54:AV57 AX54:AX57">
    <cfRule type="containsErrors" dxfId="529" priority="120">
      <formula>ISERROR(B54)</formula>
    </cfRule>
  </conditionalFormatting>
  <conditionalFormatting sqref="C54:C57">
    <cfRule type="containsBlanks" dxfId="528" priority="114">
      <formula>LEN(TRIM(C54))=0</formula>
    </cfRule>
    <cfRule type="cellIs" dxfId="527" priority="115" operator="notEqual">
      <formula>$C$1</formula>
    </cfRule>
  </conditionalFormatting>
  <conditionalFormatting sqref="J54:J57">
    <cfRule type="expression" dxfId="526" priority="119">
      <formula>LEN(J54)&gt;(MID($J$3,1,FIND(" ",$J$3)-1)*1)</formula>
    </cfRule>
  </conditionalFormatting>
  <conditionalFormatting sqref="Z54:AA57 AF54:AG57 T54:T57 V54:V57 AM54:AT57">
    <cfRule type="expression" dxfId="525" priority="118">
      <formula>LEN(T54)&gt;(MID(T$3,1,FIND(" ",T$3)-1)*1)</formula>
    </cfRule>
  </conditionalFormatting>
  <conditionalFormatting sqref="C54:C57">
    <cfRule type="containsBlanks" dxfId="524" priority="117">
      <formula>LEN(TRIM(C54))=0</formula>
    </cfRule>
  </conditionalFormatting>
  <conditionalFormatting sqref="AU54:AU57 Z54:Z57 AJ54:AK54 I55:I57 L54:L57 N54:N57 P54:P57 R54:R57 T54:T57 V54:V57 AE54:AE56 AC54:AC56 AY54:AY57 AW54:AW57">
    <cfRule type="expression" dxfId="523" priority="116">
      <formula>IF((LEN(I54)+$A54)=$A54,IF($A54&gt;0,TRUE,FALSE),FALSE)</formula>
    </cfRule>
  </conditionalFormatting>
  <conditionalFormatting sqref="X54:X57">
    <cfRule type="expression" dxfId="522" priority="113">
      <formula>IF(LEN(W54)&gt;0,IF(X54&lt;&gt;D54,TRUE,FALSE),FALSE)</formula>
    </cfRule>
  </conditionalFormatting>
  <conditionalFormatting sqref="X54:Y57">
    <cfRule type="containsErrors" dxfId="521" priority="112">
      <formula>ISERROR(X54)</formula>
    </cfRule>
  </conditionalFormatting>
  <conditionalFormatting sqref="AI54">
    <cfRule type="expression" dxfId="520" priority="110">
      <formula>IF((LEN(AI54)+$A54)=$A54,IF($A54&gt;0,TRUE,FALSE),FALSE)</formula>
    </cfRule>
  </conditionalFormatting>
  <conditionalFormatting sqref="AB57 AD57">
    <cfRule type="containsErrors" dxfId="519" priority="109">
      <formula>ISERROR(AB57)</formula>
    </cfRule>
  </conditionalFormatting>
  <conditionalFormatting sqref="AC57 AE57">
    <cfRule type="expression" dxfId="518" priority="108">
      <formula>IF((LEN(AC57)+$A57)=$A57,IF($A57&gt;0,TRUE,FALSE),FALSE)</formula>
    </cfRule>
  </conditionalFormatting>
  <conditionalFormatting sqref="AH55:AH57">
    <cfRule type="containsErrors" dxfId="517" priority="107">
      <formula>ISERROR(AH55)</formula>
    </cfRule>
  </conditionalFormatting>
  <conditionalFormatting sqref="AJ55:AK57">
    <cfRule type="expression" dxfId="516" priority="106">
      <formula>IF((LEN(AJ55)+$A55)=$A55,IF($A55&gt;0,TRUE,FALSE),FALSE)</formula>
    </cfRule>
  </conditionalFormatting>
  <conditionalFormatting sqref="AI55:AI57">
    <cfRule type="expression" dxfId="515" priority="105">
      <formula>IF((LEN(AI55)+$A55)=$A55,IF($A55&gt;0,TRUE,FALSE),FALSE)</formula>
    </cfRule>
  </conditionalFormatting>
  <conditionalFormatting sqref="I17">
    <cfRule type="expression" dxfId="514" priority="103">
      <formula>IF((LEN(I17)+$A17)=$A17,IF($A17&gt;0,TRUE,FALSE),FALSE)</formula>
    </cfRule>
  </conditionalFormatting>
  <conditionalFormatting sqref="I25">
    <cfRule type="expression" dxfId="513" priority="102">
      <formula>IF((LEN(I25)+$A25)=$A25,IF($A25&gt;0,TRUE,FALSE),FALSE)</formula>
    </cfRule>
  </conditionalFormatting>
  <conditionalFormatting sqref="I35">
    <cfRule type="expression" dxfId="512" priority="101">
      <formula>IF((LEN(I35)+$A35)=$A35,IF($A35&gt;0,TRUE,FALSE),FALSE)</formula>
    </cfRule>
  </conditionalFormatting>
  <conditionalFormatting sqref="I46">
    <cfRule type="expression" dxfId="511" priority="100">
      <formula>IF((LEN(I46)+$A46)=$A46,IF($A46&gt;0,TRUE,FALSE),FALSE)</formula>
    </cfRule>
  </conditionalFormatting>
  <conditionalFormatting sqref="I54">
    <cfRule type="expression" dxfId="510" priority="99">
      <formula>IF((LEN(I54)+$A54)=$A54,IF($A54&gt;0,TRUE,FALSE),FALSE)</formula>
    </cfRule>
  </conditionalFormatting>
  <conditionalFormatting sqref="A4:A5">
    <cfRule type="cellIs" dxfId="509" priority="1212" operator="equal">
      <formula>0</formula>
    </cfRule>
    <cfRule type="duplicateValues" dxfId="508" priority="1213"/>
  </conditionalFormatting>
  <conditionalFormatting sqref="D58">
    <cfRule type="expression" dxfId="507" priority="94">
      <formula>IF((LEN(D58)+$A58)=$A58,IF($A58&gt;0,TRUE,FALSE),FALSE)</formula>
    </cfRule>
  </conditionalFormatting>
  <conditionalFormatting sqref="AL58">
    <cfRule type="expression" dxfId="506" priority="96">
      <formula>IF((LEN(AL58)+$A58)=$A58,IF($A58&gt;0,TRUE,FALSE),FALSE)</formula>
    </cfRule>
  </conditionalFormatting>
  <conditionalFormatting sqref="BP58:BW58">
    <cfRule type="expression" dxfId="505" priority="95">
      <formula>IF(BP$3=$AV58,TRUE,FALSE)</formula>
    </cfRule>
  </conditionalFormatting>
  <conditionalFormatting sqref="B58:C58 F58:H58 K58 M58 O58 Q58 U58 S58 AV58 AX58">
    <cfRule type="containsErrors" dxfId="504" priority="93">
      <formula>ISERROR(B58)</formula>
    </cfRule>
  </conditionalFormatting>
  <conditionalFormatting sqref="C58">
    <cfRule type="containsBlanks" dxfId="503" priority="87">
      <formula>LEN(TRIM(C58))=0</formula>
    </cfRule>
    <cfRule type="cellIs" dxfId="502" priority="88" operator="notEqual">
      <formula>$C$1</formula>
    </cfRule>
  </conditionalFormatting>
  <conditionalFormatting sqref="J58">
    <cfRule type="expression" dxfId="501" priority="92">
      <formula>LEN(J58)&gt;(MID($J$3,1,FIND(" ",$J$3)-1)*1)</formula>
    </cfRule>
  </conditionalFormatting>
  <conditionalFormatting sqref="Z58:AA58 AF58:AG58 T58 V58 AM58:AT58">
    <cfRule type="expression" dxfId="500" priority="91">
      <formula>LEN(T58)&gt;(MID(T$3,1,FIND(" ",T$3)-1)*1)</formula>
    </cfRule>
  </conditionalFormatting>
  <conditionalFormatting sqref="C58">
    <cfRule type="containsBlanks" dxfId="499" priority="90">
      <formula>LEN(TRIM(C58))=0</formula>
    </cfRule>
  </conditionalFormatting>
  <conditionalFormatting sqref="AU58 Z58 I58 L58 N58 P58 R58 T58 V58 AY58 AW58">
    <cfRule type="expression" dxfId="498" priority="89">
      <formula>IF((LEN(I58)+$A58)=$A58,IF($A58&gt;0,TRUE,FALSE),FALSE)</formula>
    </cfRule>
  </conditionalFormatting>
  <conditionalFormatting sqref="X58">
    <cfRule type="expression" dxfId="497" priority="86">
      <formula>IF(LEN(W58)&gt;0,IF(X58&lt;&gt;D58,TRUE,FALSE),FALSE)</formula>
    </cfRule>
  </conditionalFormatting>
  <conditionalFormatting sqref="X58:Y58">
    <cfRule type="containsErrors" dxfId="496" priority="85">
      <formula>ISERROR(X58)</formula>
    </cfRule>
  </conditionalFormatting>
  <conditionalFormatting sqref="AB58 AD58">
    <cfRule type="containsErrors" dxfId="495" priority="84">
      <formula>ISERROR(AB58)</formula>
    </cfRule>
  </conditionalFormatting>
  <conditionalFormatting sqref="AC58 AE58">
    <cfRule type="expression" dxfId="494" priority="83">
      <formula>IF((LEN(AC58)+$A58)=$A58,IF($A58&gt;0,TRUE,FALSE),FALSE)</formula>
    </cfRule>
  </conditionalFormatting>
  <conditionalFormatting sqref="AH58">
    <cfRule type="containsErrors" dxfId="493" priority="82">
      <formula>ISERROR(AH58)</formula>
    </cfRule>
  </conditionalFormatting>
  <conditionalFormatting sqref="AJ58:AK58">
    <cfRule type="expression" dxfId="492" priority="81">
      <formula>IF((LEN(AJ58)+$A58)=$A58,IF($A58&gt;0,TRUE,FALSE),FALSE)</formula>
    </cfRule>
  </conditionalFormatting>
  <conditionalFormatting sqref="AI58">
    <cfRule type="expression" dxfId="491" priority="80">
      <formula>IF((LEN(AI58)+$A58)=$A58,IF($A58&gt;0,TRUE,FALSE),FALSE)</formula>
    </cfRule>
  </conditionalFormatting>
  <conditionalFormatting sqref="BP50:BW50">
    <cfRule type="expression" dxfId="490" priority="76">
      <formula>IF(BP$3=$AV50,TRUE,FALSE)</formula>
    </cfRule>
  </conditionalFormatting>
  <conditionalFormatting sqref="B50:C50 F50:H50 K50 M50 O50 Q50 U50 S50 AV50 AX50">
    <cfRule type="containsErrors" dxfId="489" priority="74">
      <formula>ISERROR(B50)</formula>
    </cfRule>
  </conditionalFormatting>
  <conditionalFormatting sqref="C50">
    <cfRule type="containsBlanks" dxfId="488" priority="68">
      <formula>LEN(TRIM(C50))=0</formula>
    </cfRule>
    <cfRule type="cellIs" dxfId="487" priority="69" operator="notEqual">
      <formula>$C$1</formula>
    </cfRule>
  </conditionalFormatting>
  <conditionalFormatting sqref="J50">
    <cfRule type="expression" dxfId="486" priority="73">
      <formula>LEN(J50)&gt;(MID($J$3,1,FIND(" ",$J$3)-1)*1)</formula>
    </cfRule>
  </conditionalFormatting>
  <conditionalFormatting sqref="Z50:AA50 AF50:AG50 T50 V50 AM50:AT50">
    <cfRule type="expression" dxfId="485" priority="72">
      <formula>LEN(T50)&gt;(MID(T$3,1,FIND(" ",T$3)-1)*1)</formula>
    </cfRule>
  </conditionalFormatting>
  <conditionalFormatting sqref="C50">
    <cfRule type="containsBlanks" dxfId="484" priority="71">
      <formula>LEN(TRIM(C50))=0</formula>
    </cfRule>
  </conditionalFormatting>
  <conditionalFormatting sqref="AU50 Z50 I50 L50 N50 P50 R50 T50 V50 AY50 AW50">
    <cfRule type="expression" dxfId="483" priority="70">
      <formula>IF((LEN(I50)+$A50)=$A50,IF($A50&gt;0,TRUE,FALSE),FALSE)</formula>
    </cfRule>
  </conditionalFormatting>
  <conditionalFormatting sqref="X50">
    <cfRule type="expression" dxfId="482" priority="67">
      <formula>IF(LEN(W50)&gt;0,IF(X50&lt;&gt;D50,TRUE,FALSE),FALSE)</formula>
    </cfRule>
  </conditionalFormatting>
  <conditionalFormatting sqref="X50:Y50">
    <cfRule type="containsErrors" dxfId="481" priority="66">
      <formula>ISERROR(X50)</formula>
    </cfRule>
  </conditionalFormatting>
  <conditionalFormatting sqref="AB50 AD50">
    <cfRule type="containsErrors" dxfId="480" priority="65">
      <formula>ISERROR(AB50)</formula>
    </cfRule>
  </conditionalFormatting>
  <conditionalFormatting sqref="AC50 AE50">
    <cfRule type="expression" dxfId="479" priority="64">
      <formula>IF((LEN(AC50)+$A50)=$A50,IF($A50&gt;0,TRUE,FALSE),FALSE)</formula>
    </cfRule>
  </conditionalFormatting>
  <conditionalFormatting sqref="AH50">
    <cfRule type="containsErrors" dxfId="478" priority="63">
      <formula>ISERROR(AH50)</formula>
    </cfRule>
  </conditionalFormatting>
  <conditionalFormatting sqref="AJ50:AK50">
    <cfRule type="expression" dxfId="477" priority="62">
      <formula>IF((LEN(AJ50)+$A50)=$A50,IF($A50&gt;0,TRUE,FALSE),FALSE)</formula>
    </cfRule>
  </conditionalFormatting>
  <conditionalFormatting sqref="AI50">
    <cfRule type="expression" dxfId="476" priority="61">
      <formula>IF((LEN(AI50)+$A50)=$A50,IF($A50&gt;0,TRUE,FALSE),FALSE)</formula>
    </cfRule>
  </conditionalFormatting>
  <conditionalFormatting sqref="BP39:BW39">
    <cfRule type="expression" dxfId="475" priority="56">
      <formula>IF(BP$3=$AV39,TRUE,FALSE)</formula>
    </cfRule>
  </conditionalFormatting>
  <conditionalFormatting sqref="B39:C39 F39:H39 K39 M39 O39 Q39 U39 S39 AV39 AX39">
    <cfRule type="containsErrors" dxfId="474" priority="55">
      <formula>ISERROR(B39)</formula>
    </cfRule>
  </conditionalFormatting>
  <conditionalFormatting sqref="C39">
    <cfRule type="containsBlanks" dxfId="473" priority="49">
      <formula>LEN(TRIM(C39))=0</formula>
    </cfRule>
    <cfRule type="cellIs" dxfId="472" priority="50" operator="notEqual">
      <formula>$C$1</formula>
    </cfRule>
  </conditionalFormatting>
  <conditionalFormatting sqref="J39">
    <cfRule type="expression" dxfId="471" priority="54">
      <formula>LEN(J39)&gt;(MID($J$3,1,FIND(" ",$J$3)-1)*1)</formula>
    </cfRule>
  </conditionalFormatting>
  <conditionalFormatting sqref="Z39:AA39 AF39:AG39 T39 V39 AM39:AT39">
    <cfRule type="expression" dxfId="470" priority="53">
      <formula>LEN(T39)&gt;(MID(T$3,1,FIND(" ",T$3)-1)*1)</formula>
    </cfRule>
  </conditionalFormatting>
  <conditionalFormatting sqref="C39">
    <cfRule type="containsBlanks" dxfId="469" priority="52">
      <formula>LEN(TRIM(C39))=0</formula>
    </cfRule>
  </conditionalFormatting>
  <conditionalFormatting sqref="AU39 Z39 I39 L39 N39 P39 R39 T39 V39 AY39 AW39">
    <cfRule type="expression" dxfId="468" priority="51">
      <formula>IF((LEN(I39)+$A39)=$A39,IF($A39&gt;0,TRUE,FALSE),FALSE)</formula>
    </cfRule>
  </conditionalFormatting>
  <conditionalFormatting sqref="X39">
    <cfRule type="expression" dxfId="467" priority="48">
      <formula>IF(LEN(W39)&gt;0,IF(X39&lt;&gt;D39,TRUE,FALSE),FALSE)</formula>
    </cfRule>
  </conditionalFormatting>
  <conditionalFormatting sqref="X39:Y39">
    <cfRule type="containsErrors" dxfId="466" priority="47">
      <formula>ISERROR(X39)</formula>
    </cfRule>
  </conditionalFormatting>
  <conditionalFormatting sqref="AB39 AD39">
    <cfRule type="containsErrors" dxfId="465" priority="46">
      <formula>ISERROR(AB39)</formula>
    </cfRule>
  </conditionalFormatting>
  <conditionalFormatting sqref="AC39 AE39">
    <cfRule type="expression" dxfId="464" priority="45">
      <formula>IF((LEN(AC39)+$A39)=$A39,IF($A39&gt;0,TRUE,FALSE),FALSE)</formula>
    </cfRule>
  </conditionalFormatting>
  <conditionalFormatting sqref="AH39">
    <cfRule type="containsErrors" dxfId="463" priority="44">
      <formula>ISERROR(AH39)</formula>
    </cfRule>
  </conditionalFormatting>
  <conditionalFormatting sqref="AJ39:AK39">
    <cfRule type="expression" dxfId="462" priority="43">
      <formula>IF((LEN(AJ39)+$A39)=$A39,IF($A39&gt;0,TRUE,FALSE),FALSE)</formula>
    </cfRule>
  </conditionalFormatting>
  <conditionalFormatting sqref="AI39">
    <cfRule type="expression" dxfId="461" priority="42">
      <formula>IF((LEN(AI39)+$A39)=$A39,IF($A39&gt;0,TRUE,FALSE),FALSE)</formula>
    </cfRule>
  </conditionalFormatting>
  <conditionalFormatting sqref="BP28:BW28">
    <cfRule type="expression" dxfId="460" priority="37">
      <formula>IF(BP$3=$AV28,TRUE,FALSE)</formula>
    </cfRule>
  </conditionalFormatting>
  <conditionalFormatting sqref="B28:C28 F28:H28 K28 M28 O28 Q28 U28 S28 AV28 AX28">
    <cfRule type="containsErrors" dxfId="459" priority="36">
      <formula>ISERROR(B28)</formula>
    </cfRule>
  </conditionalFormatting>
  <conditionalFormatting sqref="C28">
    <cfRule type="containsBlanks" dxfId="458" priority="30">
      <formula>LEN(TRIM(C28))=0</formula>
    </cfRule>
    <cfRule type="cellIs" dxfId="457" priority="31" operator="notEqual">
      <formula>$C$1</formula>
    </cfRule>
  </conditionalFormatting>
  <conditionalFormatting sqref="J28">
    <cfRule type="expression" dxfId="456" priority="35">
      <formula>LEN(J28)&gt;(MID($J$3,1,FIND(" ",$J$3)-1)*1)</formula>
    </cfRule>
  </conditionalFormatting>
  <conditionalFormatting sqref="Z28:AA28 AF28:AG28 T28 V28 AM28:AT28">
    <cfRule type="expression" dxfId="455" priority="34">
      <formula>LEN(T28)&gt;(MID(T$3,1,FIND(" ",T$3)-1)*1)</formula>
    </cfRule>
  </conditionalFormatting>
  <conditionalFormatting sqref="C28">
    <cfRule type="containsBlanks" dxfId="454" priority="33">
      <formula>LEN(TRIM(C28))=0</formula>
    </cfRule>
  </conditionalFormatting>
  <conditionalFormatting sqref="AU28 Z28 I28 L28 N28 P28 R28 T28 V28 AY28 AW28">
    <cfRule type="expression" dxfId="453" priority="32">
      <formula>IF((LEN(I28)+$A28)=$A28,IF($A28&gt;0,TRUE,FALSE),FALSE)</formula>
    </cfRule>
  </conditionalFormatting>
  <conditionalFormatting sqref="X28">
    <cfRule type="expression" dxfId="452" priority="29">
      <formula>IF(LEN(W28)&gt;0,IF(X28&lt;&gt;D28,TRUE,FALSE),FALSE)</formula>
    </cfRule>
  </conditionalFormatting>
  <conditionalFormatting sqref="X28:Y28">
    <cfRule type="containsErrors" dxfId="451" priority="28">
      <formula>ISERROR(X28)</formula>
    </cfRule>
  </conditionalFormatting>
  <conditionalFormatting sqref="AB28 AD28">
    <cfRule type="containsErrors" dxfId="450" priority="27">
      <formula>ISERROR(AB28)</formula>
    </cfRule>
  </conditionalFormatting>
  <conditionalFormatting sqref="AC28 AE28">
    <cfRule type="expression" dxfId="449" priority="26">
      <formula>IF((LEN(AC28)+$A28)=$A28,IF($A28&gt;0,TRUE,FALSE),FALSE)</formula>
    </cfRule>
  </conditionalFormatting>
  <conditionalFormatting sqref="AH28">
    <cfRule type="containsErrors" dxfId="448" priority="25">
      <formula>ISERROR(AH28)</formula>
    </cfRule>
  </conditionalFormatting>
  <conditionalFormatting sqref="AJ28:AK28">
    <cfRule type="expression" dxfId="447" priority="24">
      <formula>IF((LEN(AJ28)+$A28)=$A28,IF($A28&gt;0,TRUE,FALSE),FALSE)</formula>
    </cfRule>
  </conditionalFormatting>
  <conditionalFormatting sqref="AI28">
    <cfRule type="expression" dxfId="446" priority="23">
      <formula>IF((LEN(AI28)+$A28)=$A28,IF($A28&gt;0,TRUE,FALSE),FALSE)</formula>
    </cfRule>
  </conditionalFormatting>
  <conditionalFormatting sqref="BP21:BW21">
    <cfRule type="expression" dxfId="445" priority="19">
      <formula>IF(BP$3=$AV21,TRUE,FALSE)</formula>
    </cfRule>
  </conditionalFormatting>
  <conditionalFormatting sqref="B21:C21 F21:H21 K21 M21 O21 Q21 U21 S21 AV21 AX21">
    <cfRule type="containsErrors" dxfId="444" priority="18">
      <formula>ISERROR(B21)</formula>
    </cfRule>
  </conditionalFormatting>
  <conditionalFormatting sqref="C21">
    <cfRule type="containsBlanks" dxfId="443" priority="12">
      <formula>LEN(TRIM(C21))=0</formula>
    </cfRule>
    <cfRule type="cellIs" dxfId="442" priority="13" operator="notEqual">
      <formula>$C$1</formula>
    </cfRule>
  </conditionalFormatting>
  <conditionalFormatting sqref="J21">
    <cfRule type="expression" dxfId="441" priority="17">
      <formula>LEN(J21)&gt;(MID($J$3,1,FIND(" ",$J$3)-1)*1)</formula>
    </cfRule>
  </conditionalFormatting>
  <conditionalFormatting sqref="Z21:AA21 AF21:AG21 T21 V21 AM21:AT21">
    <cfRule type="expression" dxfId="440" priority="16">
      <formula>LEN(T21)&gt;(MID(T$3,1,FIND(" ",T$3)-1)*1)</formula>
    </cfRule>
  </conditionalFormatting>
  <conditionalFormatting sqref="C21">
    <cfRule type="containsBlanks" dxfId="439" priority="15">
      <formula>LEN(TRIM(C21))=0</formula>
    </cfRule>
  </conditionalFormatting>
  <conditionalFormatting sqref="AU21 Z21 I21 L21 N21 P21 R21 T21 V21 AY21 AW21">
    <cfRule type="expression" dxfId="438" priority="14">
      <formula>IF((LEN(I21)+$A21)=$A21,IF($A21&gt;0,TRUE,FALSE),FALSE)</formula>
    </cfRule>
  </conditionalFormatting>
  <conditionalFormatting sqref="X21">
    <cfRule type="expression" dxfId="437" priority="11">
      <formula>IF(LEN(W21)&gt;0,IF(X21&lt;&gt;D21,TRUE,FALSE),FALSE)</formula>
    </cfRule>
  </conditionalFormatting>
  <conditionalFormatting sqref="X21:Y21">
    <cfRule type="containsErrors" dxfId="436" priority="10">
      <formula>ISERROR(X21)</formula>
    </cfRule>
  </conditionalFormatting>
  <conditionalFormatting sqref="AB21 AD21">
    <cfRule type="containsErrors" dxfId="435" priority="9">
      <formula>ISERROR(AB21)</formula>
    </cfRule>
  </conditionalFormatting>
  <conditionalFormatting sqref="AC21 AE21">
    <cfRule type="expression" dxfId="434" priority="8">
      <formula>IF((LEN(AC21)+$A21)=$A21,IF($A21&gt;0,TRUE,FALSE),FALSE)</formula>
    </cfRule>
  </conditionalFormatting>
  <conditionalFormatting sqref="AH21">
    <cfRule type="containsErrors" dxfId="433" priority="7">
      <formula>ISERROR(AH21)</formula>
    </cfRule>
  </conditionalFormatting>
  <conditionalFormatting sqref="AJ21:AK21">
    <cfRule type="expression" dxfId="432" priority="6">
      <formula>IF((LEN(AJ21)+$A21)=$A21,IF($A21&gt;0,TRUE,FALSE),FALSE)</formula>
    </cfRule>
  </conditionalFormatting>
  <conditionalFormatting sqref="AI21">
    <cfRule type="expression" dxfId="431" priority="5">
      <formula>IF((LEN(AI21)+$A21)=$A21,IF($A21&gt;0,TRUE,FALSE),FALSE)</formula>
    </cfRule>
  </conditionalFormatting>
  <conditionalFormatting sqref="A6:A58">
    <cfRule type="cellIs" dxfId="430" priority="1" operator="equal">
      <formula>0</formula>
    </cfRule>
    <cfRule type="duplicateValues" dxfId="429" priority="2"/>
  </conditionalFormatting>
  <dataValidations count="15">
    <dataValidation type="list" allowBlank="1" showInputMessage="1" showErrorMessage="1" sqref="AL4:AL58">
      <formula1>driver</formula1>
    </dataValidation>
    <dataValidation type="list" allowBlank="1" showInputMessage="1" showErrorMessage="1" sqref="AW4:AW58">
      <formula1>calctype</formula1>
    </dataValidation>
    <dataValidation type="list" allowBlank="1" showInputMessage="1" showErrorMessage="1" sqref="AY4:AY58">
      <formula1>targettype</formula1>
    </dataValidation>
    <dataValidation type="list" allowBlank="1" showInputMessage="1" showErrorMessage="1" sqref="AC4:AC58">
      <formula1>concept</formula1>
    </dataValidation>
    <dataValidation type="list" allowBlank="1" showInputMessage="1" showErrorMessage="1" sqref="AE4:AE58">
      <formula1>ktype</formula1>
    </dataValidation>
    <dataValidation type="list" allowBlank="1" showInputMessage="1" showErrorMessage="1" sqref="AI4:AI58">
      <formula1>riskrate</formula1>
    </dataValidation>
    <dataValidation type="list" allowBlank="1" showInputMessage="1" showErrorMessage="1" sqref="D4:D58">
      <formula1>SubDir</formula1>
    </dataValidation>
    <dataValidation type="whole" allowBlank="1" showInputMessage="1" showErrorMessage="1" sqref="E4:E58">
      <formula1>1</formula1>
      <formula2>1001</formula2>
    </dataValidation>
    <dataValidation type="list" allowBlank="1" showInputMessage="1" showErrorMessage="1" sqref="I4:I58">
      <formula1>gfs</formula1>
    </dataValidation>
    <dataValidation type="list" allowBlank="1" showInputMessage="1" showErrorMessage="1" sqref="L4:L58">
      <formula1>natout</formula1>
    </dataValidation>
    <dataValidation type="list" allowBlank="1" showInputMessage="1" showErrorMessage="1" sqref="R4:R58">
      <formula1>munkpa</formula1>
    </dataValidation>
    <dataValidation type="list" allowBlank="1" showInputMessage="1" showErrorMessage="1" sqref="P4:P58">
      <formula1>natkpa</formula1>
    </dataValidation>
    <dataValidation type="list" allowBlank="1" showInputMessage="1" showErrorMessage="1" sqref="N4:N58">
      <formula1>deptobj</formula1>
    </dataValidation>
    <dataValidation type="list" allowBlank="1" showInputMessage="1" showErrorMessage="1" sqref="T4:T58">
      <formula1>PDO</formula1>
    </dataValidation>
    <dataValidation type="list" allowBlank="1" showInputMessage="1" showErrorMessage="1" sqref="V4:V58">
      <formula1>NDP_Objective</formula1>
    </dataValidation>
  </dataValidations>
  <pageMargins left="0.25" right="0.25" top="0.75" bottom="0.75" header="0.3" footer="0.3"/>
  <pageSetup paperSize="9" scale="30" fitToHeight="100" orientation="landscape" r:id="rId1"/>
  <headerFooter>
    <oddHeader>&amp;L&amp;"-,Bold"&amp;A&amp;C&amp;"-,Bold"Departmental Service Delivery Budget Implementation Plan for 2018/19</oddHeader>
    <oddFooter>&amp;R&amp;"-,Bold"Page|&amp;P/&amp;N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'[1]1. Lists'!#REF!</xm:f>
          </x14:formula1>
          <xm:sqref>C1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H48"/>
  <sheetViews>
    <sheetView zoomScale="80" zoomScaleNormal="80" workbookViewId="0">
      <pane ySplit="3" topLeftCell="A40" activePane="bottomLeft" state="frozen"/>
      <selection activeCell="A2" sqref="A1:XFD1048576"/>
      <selection pane="bottomLeft" activeCell="A14" sqref="A14:A48"/>
    </sheetView>
  </sheetViews>
  <sheetFormatPr defaultColWidth="9.140625" defaultRowHeight="15" x14ac:dyDescent="0.25"/>
  <cols>
    <col min="1" max="1" width="7.85546875" style="92" customWidth="1"/>
    <col min="2" max="2" width="8.140625" style="66" hidden="1" customWidth="1"/>
    <col min="3" max="3" width="20.85546875" style="66" hidden="1" customWidth="1"/>
    <col min="4" max="4" width="24.5703125" style="63" customWidth="1"/>
    <col min="5" max="5" width="9.28515625" style="64" hidden="1" customWidth="1"/>
    <col min="6" max="6" width="14.85546875" style="64" hidden="1" customWidth="1"/>
    <col min="7" max="7" width="24.5703125" style="65" hidden="1" customWidth="1"/>
    <col min="8" max="8" width="5.5703125" style="66" hidden="1" customWidth="1"/>
    <col min="9" max="9" width="56.7109375" style="67" hidden="1" customWidth="1"/>
    <col min="10" max="10" width="15.28515625" style="68" hidden="1" customWidth="1"/>
    <col min="11" max="11" width="5.5703125" style="66" hidden="1" customWidth="1"/>
    <col min="12" max="12" width="27.28515625" style="69" hidden="1" customWidth="1"/>
    <col min="13" max="13" width="5.5703125" style="70" hidden="1" customWidth="1"/>
    <col min="14" max="14" width="27.42578125" style="71" customWidth="1"/>
    <col min="15" max="15" width="5.5703125" style="66" hidden="1" customWidth="1"/>
    <col min="16" max="16" width="24" style="72" hidden="1" customWidth="1"/>
    <col min="17" max="17" width="5.5703125" style="73" hidden="1" customWidth="1"/>
    <col min="18" max="18" width="29.140625" style="74" hidden="1" customWidth="1"/>
    <col min="19" max="19" width="5.5703125" style="73" hidden="1" customWidth="1"/>
    <col min="20" max="20" width="32.28515625" style="75" hidden="1" customWidth="1"/>
    <col min="21" max="21" width="5.5703125" style="76" hidden="1" customWidth="1"/>
    <col min="22" max="22" width="32.28515625" style="75" hidden="1" customWidth="1"/>
    <col min="23" max="23" width="9.85546875" style="77" hidden="1" customWidth="1"/>
    <col min="24" max="24" width="20.140625" style="78" hidden="1" customWidth="1"/>
    <col min="25" max="25" width="29.28515625" style="78" hidden="1" customWidth="1"/>
    <col min="26" max="26" width="40.5703125" style="75" customWidth="1"/>
    <col min="27" max="27" width="48.5703125" style="75" customWidth="1"/>
    <col min="28" max="28" width="6.7109375" style="66" hidden="1" customWidth="1"/>
    <col min="29" max="29" width="14.7109375" style="68" hidden="1" customWidth="1"/>
    <col min="30" max="30" width="6.5703125" style="66" hidden="1" customWidth="1"/>
    <col min="31" max="32" width="22.28515625" style="68" hidden="1" customWidth="1"/>
    <col min="33" max="33" width="45.7109375" style="68" hidden="1" customWidth="1"/>
    <col min="34" max="34" width="5.5703125" style="66" hidden="1" customWidth="1"/>
    <col min="35" max="35" width="24.85546875" style="68" hidden="1" customWidth="1"/>
    <col min="36" max="37" width="18" style="68" hidden="1" customWidth="1"/>
    <col min="38" max="38" width="22.85546875" style="71" customWidth="1"/>
    <col min="39" max="39" width="28.28515625" style="68" customWidth="1"/>
    <col min="40" max="40" width="28.28515625" style="68" hidden="1" customWidth="1"/>
    <col min="41" max="42" width="28.28515625" style="68" customWidth="1"/>
    <col min="43" max="46" width="28.28515625" style="68" hidden="1" customWidth="1"/>
    <col min="47" max="47" width="21.42578125" style="63" hidden="1" customWidth="1"/>
    <col min="48" max="48" width="5.5703125" style="80" hidden="1" customWidth="1"/>
    <col min="49" max="49" width="19.140625" style="63" hidden="1" customWidth="1"/>
    <col min="50" max="50" width="5.5703125" style="80" hidden="1" customWidth="1"/>
    <col min="51" max="51" width="19.140625" style="63" bestFit="1" customWidth="1"/>
    <col min="52" max="52" width="13.42578125" style="81" bestFit="1" customWidth="1"/>
    <col min="53" max="53" width="14.140625" style="82" hidden="1" customWidth="1"/>
    <col min="54" max="54" width="2.28515625" style="66" customWidth="1"/>
    <col min="55" max="66" width="14.5703125" style="83" customWidth="1"/>
    <col min="67" max="86" width="9.140625" style="66" hidden="1" customWidth="1"/>
    <col min="87" max="89" width="9.140625" style="66" customWidth="1"/>
    <col min="90" max="16384" width="9.140625" style="66"/>
  </cols>
  <sheetData>
    <row r="1" spans="1:75" ht="30" hidden="1" x14ac:dyDescent="0.25">
      <c r="A1" s="60" t="str">
        <f>top_dirid</f>
        <v>Directorate [R]</v>
      </c>
      <c r="B1" s="61"/>
      <c r="C1" s="62" t="s">
        <v>359</v>
      </c>
    </row>
    <row r="2" spans="1:75" s="84" customFormat="1" ht="31.9" customHeight="1" x14ac:dyDescent="0.25">
      <c r="A2" s="84" t="s">
        <v>179</v>
      </c>
      <c r="B2" s="424" t="str">
        <f>kpi_subid</f>
        <v>Sub-Directorate [R]</v>
      </c>
      <c r="C2" s="424"/>
      <c r="D2" s="424"/>
      <c r="E2" s="422" t="str">
        <f>kpi_topid</f>
        <v>Top Layer KPI</v>
      </c>
      <c r="F2" s="422"/>
      <c r="G2" s="422"/>
      <c r="H2" s="420" t="str">
        <f>kpi_gfsid</f>
        <v>Function [R]</v>
      </c>
      <c r="I2" s="420"/>
      <c r="J2" s="85" t="str">
        <f>kpi_idpref</f>
        <v>IDP Ref</v>
      </c>
      <c r="K2" s="417" t="str">
        <f>kpi_natoutcomeid</f>
        <v>National Outcome [R]</v>
      </c>
      <c r="L2" s="417"/>
      <c r="M2" s="419" t="str">
        <f>kpi_idpid</f>
        <v>IDP Objective [R]</v>
      </c>
      <c r="N2" s="419"/>
      <c r="O2" s="421" t="str">
        <f>kpi_natkpaid</f>
        <v>National KPA [R]</v>
      </c>
      <c r="P2" s="421"/>
      <c r="Q2" s="422" t="str">
        <f>kpi_munkpaid</f>
        <v>Municipal KPA [R]</v>
      </c>
      <c r="R2" s="422"/>
      <c r="S2" s="424" t="str">
        <f>kpi_pdoid</f>
        <v>Pre-determined Objectives [R]</v>
      </c>
      <c r="T2" s="424"/>
      <c r="U2" s="420" t="str">
        <f>kpi_ndpid</f>
        <v>NDP Objective [R]</v>
      </c>
      <c r="V2" s="420"/>
      <c r="W2" s="417" t="str">
        <f>kpi_capitalid</f>
        <v>Capital Project</v>
      </c>
      <c r="X2" s="417"/>
      <c r="Y2" s="417"/>
      <c r="Z2" s="85" t="str">
        <f>kpi_value</f>
        <v>KPI Name [R]</v>
      </c>
      <c r="AA2" s="85" t="str">
        <f>kpi_unit</f>
        <v>Unit of Measurement</v>
      </c>
      <c r="AB2" s="424" t="str">
        <f>kpi_conceptid</f>
        <v>KPI Concept [R]</v>
      </c>
      <c r="AC2" s="424"/>
      <c r="AD2" s="420" t="str">
        <f>kpi_typeid</f>
        <v>KPI Type [R]</v>
      </c>
      <c r="AE2" s="420"/>
      <c r="AF2" s="85" t="str">
        <f>kpi_riskref</f>
        <v>Risk Reg. Ref</v>
      </c>
      <c r="AG2" s="85" t="str">
        <f>kpi_risk</f>
        <v>Risk</v>
      </c>
      <c r="AH2" s="422" t="str">
        <f>kpi_riskratingid</f>
        <v>Provincial Strategic Objectives [R]</v>
      </c>
      <c r="AI2" s="422"/>
      <c r="AJ2" s="86" t="str">
        <f>kpi_wards</f>
        <v>Ward [R]</v>
      </c>
      <c r="AK2" s="87" t="str">
        <f>kpi_area</f>
        <v>Area [R]</v>
      </c>
      <c r="AL2" s="88" t="str">
        <f>kpi_ownerid</f>
        <v>KPI Owner [R]</v>
      </c>
      <c r="AM2" s="85" t="str">
        <f>kpi_baseline</f>
        <v>Baseline</v>
      </c>
      <c r="AN2" s="85" t="str">
        <f>kpi_pyp</f>
        <v>Past Year Performance</v>
      </c>
      <c r="AO2" s="85" t="str">
        <f>kpi_perfstd</f>
        <v>Performance Standard</v>
      </c>
      <c r="AP2" s="85" t="str">
        <f>kpi_poe</f>
        <v>POE</v>
      </c>
      <c r="AQ2" s="85" t="str">
        <f>kpi_mtas</f>
        <v>MTAS Indicator</v>
      </c>
      <c r="AR2" s="85" t="str">
        <f>kpi_new1</f>
        <v>New Text 1</v>
      </c>
      <c r="AS2" s="85" t="str">
        <f>kpi_new2</f>
        <v>New Text 2</v>
      </c>
      <c r="AT2" s="85" t="str">
        <f>kpi_new3</f>
        <v>New Text 3</v>
      </c>
      <c r="AU2" s="90" t="str">
        <f>kpi_repcate</f>
        <v>Reporting Category [R]</v>
      </c>
      <c r="AV2" s="424" t="str">
        <f>kpi_calctype</f>
        <v>KPI Calculation Type [R]</v>
      </c>
      <c r="AW2" s="424"/>
      <c r="AX2" s="420" t="str">
        <f>kpi_targettype</f>
        <v>Target Type [R]</v>
      </c>
      <c r="AY2" s="420"/>
      <c r="AZ2" s="91" t="str">
        <f>kpi_annual</f>
        <v>Annual Target</v>
      </c>
      <c r="BA2" s="85" t="str">
        <f>kpi_revised</f>
        <v>Revised Target</v>
      </c>
      <c r="BC2" s="91" t="str">
        <f>tp_1</f>
        <v>July 2018</v>
      </c>
      <c r="BD2" s="91" t="str">
        <f>tp_2</f>
        <v>August 2018</v>
      </c>
      <c r="BE2" s="91" t="str">
        <f>tp_3</f>
        <v>September 2018</v>
      </c>
      <c r="BF2" s="91" t="str">
        <f>tp_4</f>
        <v>October 2018</v>
      </c>
      <c r="BG2" s="91" t="str">
        <f>tp_5</f>
        <v>November 2018</v>
      </c>
      <c r="BH2" s="91" t="str">
        <f>tp_6</f>
        <v>December 2018</v>
      </c>
      <c r="BI2" s="91" t="str">
        <f>tp_7</f>
        <v>January 2019</v>
      </c>
      <c r="BJ2" s="91" t="str">
        <f>tp_8</f>
        <v>February 2019</v>
      </c>
      <c r="BK2" s="91" t="str">
        <f>tp_9</f>
        <v>March 2019</v>
      </c>
      <c r="BL2" s="91" t="str">
        <f>tp_10</f>
        <v>April 2019</v>
      </c>
      <c r="BM2" s="91" t="str">
        <f>tp_11</f>
        <v>May 2019</v>
      </c>
      <c r="BN2" s="91" t="str">
        <f>tp_12</f>
        <v>June 2019</v>
      </c>
      <c r="BP2" s="416" t="s">
        <v>333</v>
      </c>
      <c r="BQ2" s="416"/>
      <c r="BR2" s="416"/>
      <c r="BS2" s="416"/>
      <c r="BT2" s="416"/>
      <c r="BU2" s="416"/>
      <c r="BV2" s="416"/>
      <c r="BW2" s="416"/>
    </row>
    <row r="3" spans="1:75" s="93" customFormat="1" ht="15" customHeight="1" x14ac:dyDescent="0.25">
      <c r="A3" s="92" t="s">
        <v>0</v>
      </c>
      <c r="B3" s="93" t="s">
        <v>179</v>
      </c>
      <c r="C3" s="93" t="s">
        <v>1</v>
      </c>
      <c r="D3" s="94" t="s">
        <v>94</v>
      </c>
      <c r="E3" s="95" t="s">
        <v>180</v>
      </c>
      <c r="F3" s="96" t="s">
        <v>1</v>
      </c>
      <c r="G3" s="96" t="s">
        <v>95</v>
      </c>
      <c r="H3" s="97" t="s">
        <v>179</v>
      </c>
      <c r="I3" s="98" t="s">
        <v>94</v>
      </c>
      <c r="J3" s="99" t="s">
        <v>103</v>
      </c>
      <c r="K3" s="97" t="s">
        <v>179</v>
      </c>
      <c r="L3" s="100" t="s">
        <v>94</v>
      </c>
      <c r="M3" s="97" t="s">
        <v>179</v>
      </c>
      <c r="N3" s="101" t="s">
        <v>94</v>
      </c>
      <c r="O3" s="97" t="s">
        <v>179</v>
      </c>
      <c r="P3" s="102" t="s">
        <v>94</v>
      </c>
      <c r="Q3" s="97" t="s">
        <v>179</v>
      </c>
      <c r="R3" s="103" t="s">
        <v>94</v>
      </c>
      <c r="S3" s="97" t="s">
        <v>179</v>
      </c>
      <c r="T3" s="104" t="s">
        <v>94</v>
      </c>
      <c r="U3" s="105" t="s">
        <v>179</v>
      </c>
      <c r="V3" s="106" t="s">
        <v>94</v>
      </c>
      <c r="W3" s="107" t="s">
        <v>178</v>
      </c>
      <c r="X3" s="108" t="s">
        <v>99</v>
      </c>
      <c r="Y3" s="108" t="s">
        <v>98</v>
      </c>
      <c r="Z3" s="109" t="s">
        <v>105</v>
      </c>
      <c r="AA3" s="109" t="s">
        <v>168</v>
      </c>
      <c r="AB3" s="97" t="s">
        <v>179</v>
      </c>
      <c r="AC3" s="110" t="s">
        <v>94</v>
      </c>
      <c r="AD3" s="97" t="s">
        <v>179</v>
      </c>
      <c r="AE3" s="111" t="s">
        <v>94</v>
      </c>
      <c r="AF3" s="99" t="s">
        <v>107</v>
      </c>
      <c r="AG3" s="99" t="s">
        <v>106</v>
      </c>
      <c r="AH3" s="97" t="s">
        <v>179</v>
      </c>
      <c r="AI3" s="112" t="s">
        <v>94</v>
      </c>
      <c r="AJ3" s="113" t="s">
        <v>92</v>
      </c>
      <c r="AK3" s="114" t="s">
        <v>181</v>
      </c>
      <c r="AL3" s="101" t="s">
        <v>94</v>
      </c>
      <c r="AM3" s="99" t="s">
        <v>106</v>
      </c>
      <c r="AN3" s="99" t="s">
        <v>106</v>
      </c>
      <c r="AO3" s="99" t="s">
        <v>106</v>
      </c>
      <c r="AP3" s="99" t="s">
        <v>106</v>
      </c>
      <c r="AQ3" s="99" t="s">
        <v>168</v>
      </c>
      <c r="AR3" s="99" t="s">
        <v>168</v>
      </c>
      <c r="AS3" s="99" t="s">
        <v>168</v>
      </c>
      <c r="AT3" s="99" t="s">
        <v>168</v>
      </c>
      <c r="AU3" s="114" t="s">
        <v>182</v>
      </c>
      <c r="AV3" s="93" t="s">
        <v>179</v>
      </c>
      <c r="AW3" s="94" t="s">
        <v>94</v>
      </c>
      <c r="AX3" s="93" t="s">
        <v>179</v>
      </c>
      <c r="AY3" s="98" t="s">
        <v>94</v>
      </c>
      <c r="AZ3" s="116" t="s">
        <v>83</v>
      </c>
      <c r="BA3" s="99" t="s">
        <v>83</v>
      </c>
      <c r="BC3" s="117" t="s">
        <v>83</v>
      </c>
      <c r="BD3" s="117" t="s">
        <v>83</v>
      </c>
      <c r="BE3" s="117" t="s">
        <v>83</v>
      </c>
      <c r="BF3" s="117" t="s">
        <v>83</v>
      </c>
      <c r="BG3" s="117" t="s">
        <v>83</v>
      </c>
      <c r="BH3" s="117" t="s">
        <v>83</v>
      </c>
      <c r="BI3" s="117" t="s">
        <v>83</v>
      </c>
      <c r="BJ3" s="117" t="s">
        <v>83</v>
      </c>
      <c r="BK3" s="117" t="s">
        <v>83</v>
      </c>
      <c r="BL3" s="117" t="s">
        <v>83</v>
      </c>
      <c r="BM3" s="117" t="s">
        <v>83</v>
      </c>
      <c r="BN3" s="117" t="s">
        <v>83</v>
      </c>
      <c r="BP3" s="118" t="s">
        <v>74</v>
      </c>
      <c r="BQ3" s="118" t="s">
        <v>75</v>
      </c>
      <c r="BR3" s="118" t="s">
        <v>76</v>
      </c>
      <c r="BS3" s="118" t="s">
        <v>77</v>
      </c>
      <c r="BT3" s="118" t="s">
        <v>16</v>
      </c>
      <c r="BU3" s="118" t="s">
        <v>134</v>
      </c>
      <c r="BV3" s="118" t="s">
        <v>191</v>
      </c>
      <c r="BW3" s="118" t="s">
        <v>193</v>
      </c>
    </row>
    <row r="4" spans="1:75" ht="75" x14ac:dyDescent="0.25">
      <c r="A4" s="92">
        <v>1</v>
      </c>
      <c r="B4" s="66">
        <f>IF(LEN(D4)&gt;0,VLOOKUP(D4,'1. Lists'!$E$3:$J$52,6,FALSE),"")</f>
        <v>8</v>
      </c>
      <c r="C4" s="66" t="str">
        <f>IF(LEN(D4)&gt;0,VLOOKUP(D4,'1. Lists'!$E$3:$F$52,2,FALSE),"")</f>
        <v>Administration &amp; Community Services</v>
      </c>
      <c r="D4" s="120" t="s">
        <v>367</v>
      </c>
      <c r="E4" s="121"/>
      <c r="F4" s="65" t="str">
        <f>IF(E4&gt;0,VLOOKUP(E4,'2. Top Layer'!$A:$C,3,FALSE),"")</f>
        <v/>
      </c>
      <c r="G4" s="65" t="str">
        <f>IF(E4&gt;0,VLOOKUP(E4,'2. Top Layer'!$A:$T,17,FALSE),"")</f>
        <v/>
      </c>
      <c r="H4" s="66">
        <f>IF(LEN(I4)&gt;0,VLOOKUP(I4,'1. Lists'!$T:$U,2,FALSE),"")</f>
        <v>64</v>
      </c>
      <c r="I4" s="122" t="s">
        <v>435</v>
      </c>
      <c r="J4" s="123"/>
      <c r="K4" s="66">
        <f>IF(LEN(L4)&gt;0,VLOOKUP(L4,'1. Lists'!$AK:$AL,2,FALSE),"")</f>
        <v>9</v>
      </c>
      <c r="L4" s="124" t="s">
        <v>159</v>
      </c>
      <c r="M4" s="70">
        <f>IF(LEN(N4)&gt;0,VLOOKUP(N4,'1. Lists'!$AN:$AQ,4,FALSE),"")</f>
        <v>2</v>
      </c>
      <c r="N4" s="125" t="s">
        <v>382</v>
      </c>
      <c r="O4" s="66">
        <f>IF(LEN(P4)&gt;0,VLOOKUP(P4,'1. Lists'!$AA:$AC,3,FALSE),"")</f>
        <v>5</v>
      </c>
      <c r="P4" s="126" t="s">
        <v>42</v>
      </c>
      <c r="Q4" s="73">
        <f>IF(LEN(R4)&gt;0,VLOOKUP(R4,'1. Lists'!$W:$Y,3,FALSE),"")</f>
        <v>1</v>
      </c>
      <c r="R4" s="127" t="s">
        <v>169</v>
      </c>
      <c r="S4" s="73">
        <f>IF(LEN(T4)&gt;0,VLOOKUP(T4,'1. Lists'!$AH:$AI,2,FALSE),"")</f>
        <v>17</v>
      </c>
      <c r="T4" s="128" t="s">
        <v>402</v>
      </c>
      <c r="U4" s="76">
        <f>IF(LEN(V4)&gt;0,VLOOKUP(V4,'1. Lists'!$AE:$AF,2,FALSE),"")</f>
        <v>11</v>
      </c>
      <c r="V4" s="129" t="s">
        <v>355</v>
      </c>
      <c r="W4" s="130"/>
      <c r="X4" s="131" t="str">
        <f>IF(W4&gt;0,VLOOKUP($W4,'3. Capital'!$A:$J,4,FALSE),"")</f>
        <v/>
      </c>
      <c r="Y4" s="78" t="str">
        <f>IF(W4&gt;0,VLOOKUP($W4,'3. Capital'!$A:$J,10,FALSE),"")</f>
        <v/>
      </c>
      <c r="Z4" s="132" t="s">
        <v>465</v>
      </c>
      <c r="AA4" s="132" t="s">
        <v>466</v>
      </c>
      <c r="AB4" s="66">
        <f>IF(LEN(AC4)&gt;0,VLOOKUP(AC4,'1. Lists'!$AV$3:$AX$7,3,FALSE),"")</f>
        <v>3</v>
      </c>
      <c r="AC4" s="133" t="s">
        <v>4</v>
      </c>
      <c r="AD4" s="66">
        <f>IF(LEN(AE4)&gt;0,VLOOKUP(AE4,'1. Lists'!$AZ$3:$BB$7,3,FALSE),"")</f>
        <v>2</v>
      </c>
      <c r="AE4" s="122" t="s">
        <v>9</v>
      </c>
      <c r="AF4" s="123"/>
      <c r="AG4" s="123"/>
      <c r="AH4" s="66">
        <f>IF(LEN(AI4)&gt;0,VLOOKUP(AI4,'1. Lists'!$BD$3:$BF$15,3,FALSE),"")</f>
        <v>5</v>
      </c>
      <c r="AI4" s="127" t="s">
        <v>340</v>
      </c>
      <c r="AJ4" s="134" t="s">
        <v>68</v>
      </c>
      <c r="AK4" s="135" t="s">
        <v>461</v>
      </c>
      <c r="AL4" s="125" t="s">
        <v>367</v>
      </c>
      <c r="AM4" s="145">
        <v>1</v>
      </c>
      <c r="AN4" s="123"/>
      <c r="AO4" s="137">
        <v>1</v>
      </c>
      <c r="AP4" s="137" t="s">
        <v>573</v>
      </c>
      <c r="AQ4" s="123"/>
      <c r="AR4" s="123"/>
      <c r="AS4" s="123"/>
      <c r="AT4" s="123"/>
      <c r="AU4" s="135" t="s">
        <v>460</v>
      </c>
      <c r="AV4" s="80" t="str">
        <f>IF(LEN(AW4)&gt;0,VLOOKUP(AW4,'1. Lists'!$BQ:$BR,2,FALSE),"")</f>
        <v>CO</v>
      </c>
      <c r="AW4" s="133" t="s">
        <v>12</v>
      </c>
      <c r="AX4" s="80">
        <f>IF(LEN(AY4)&gt;0,VLOOKUP(AY4,'1. Lists'!$BU$3:$BW$5,3,FALSE),"")</f>
        <v>2</v>
      </c>
      <c r="AY4" s="138" t="s">
        <v>82</v>
      </c>
      <c r="AZ4" s="139">
        <v>100</v>
      </c>
      <c r="BA4" s="82">
        <f t="shared" ref="BA4:BA14" si="0">IF(LEN(AZ4)&gt;0,AZ4,"")</f>
        <v>100</v>
      </c>
      <c r="BC4" s="141">
        <v>0</v>
      </c>
      <c r="BD4" s="141">
        <v>0</v>
      </c>
      <c r="BE4" s="141">
        <v>0</v>
      </c>
      <c r="BF4" s="141">
        <v>0</v>
      </c>
      <c r="BG4" s="141">
        <v>0</v>
      </c>
      <c r="BH4" s="141">
        <v>0</v>
      </c>
      <c r="BI4" s="141">
        <v>0</v>
      </c>
      <c r="BJ4" s="141">
        <v>0</v>
      </c>
      <c r="BK4" s="141">
        <v>0</v>
      </c>
      <c r="BL4" s="141">
        <v>0</v>
      </c>
      <c r="BM4" s="141">
        <v>0</v>
      </c>
      <c r="BN4" s="141">
        <v>100</v>
      </c>
      <c r="BP4" s="66">
        <f t="shared" ref="BP4:BP14" si="1">MAX(BC4:BN4)</f>
        <v>100</v>
      </c>
      <c r="BQ4" s="66">
        <f t="shared" ref="BQ4:BQ14" si="2">SUM(BC4:BN4)</f>
        <v>100</v>
      </c>
      <c r="BR4" s="66">
        <f t="shared" ref="BR4:BR14" si="3">IF(SUM(BC4:BN4)&gt;0,SUM(BC4:BN4)/COUNTIF(BC4:BN4,"&gt;0"),0)</f>
        <v>100</v>
      </c>
      <c r="BS4" s="66">
        <v>0</v>
      </c>
      <c r="BU4" s="66">
        <f t="shared" ref="BU4:BU14" si="4">IF(SUM(BC4:BN4)&gt;0,SUM(BC4:BN4)/COUNTIF(BC4:BN4,"&gt;0"),0)</f>
        <v>100</v>
      </c>
      <c r="BV4" s="66">
        <f t="shared" ref="BV4:BV14" si="5">IF(BN4&gt;0,BN4,IF(BM4&gt;0,BM4,IF(BL4&gt;0,BL4,IF(BK4&gt;0,BK4,IF(BJ4&gt;0,BJ4,IF(BI4&gt;0,BI4,IF(BH4&gt;0,BH4,IF(BG4&gt;0,BG4,IF(BF4&gt;0,BF4,IF(BE4&gt;0,BE4,IF(BD4&gt;0,BD4,BC4)))))))))))</f>
        <v>100</v>
      </c>
      <c r="BW4" s="66">
        <f t="shared" ref="BW4:BW14" si="6">IF(BN4&gt;0,BN4,IF(BM4&gt;0,BM4,IF(BL4&gt;0,BL4,IF(BK4&gt;0,BK4,IF(BJ4&gt;0,BJ4,IF(BI4&gt;0,BI4,IF(BH4&gt;0,BH4,IF(BG4&gt;0,BG4,IF(BF4&gt;0,BF4,IF(BE4&gt;0,BE4,IF(BD4&gt;0,BD4,BC4)))))))))))</f>
        <v>100</v>
      </c>
    </row>
    <row r="5" spans="1:75" s="80" customFormat="1" ht="75" x14ac:dyDescent="0.25">
      <c r="A5" s="174">
        <v>2</v>
      </c>
      <c r="B5" s="80">
        <f>IF(LEN(D5)&gt;0,VLOOKUP(D5,'1. Lists'!$E$3:$J$52,6,FALSE),"")</f>
        <v>8</v>
      </c>
      <c r="C5" s="80" t="str">
        <f>IF(LEN(D5)&gt;0,VLOOKUP(D5,'1. Lists'!$E$3:$F$52,2,FALSE),"")</f>
        <v>Administration &amp; Community Services</v>
      </c>
      <c r="D5" s="120" t="s">
        <v>367</v>
      </c>
      <c r="E5" s="179"/>
      <c r="F5" s="65" t="str">
        <f>IF(E5&gt;0,VLOOKUP(E5,'2. Top Layer'!$A:$C,3,FALSE),"")</f>
        <v/>
      </c>
      <c r="G5" s="65" t="str">
        <f>IF(E5&gt;0,VLOOKUP(E5,'2. Top Layer'!$A:$T,17,FALSE),"")</f>
        <v/>
      </c>
      <c r="H5" s="80">
        <f>IF(LEN(I5)&gt;0,VLOOKUP(I5,'1. Lists'!$T:$U,2,FALSE),"")</f>
        <v>74</v>
      </c>
      <c r="I5" s="152" t="s">
        <v>439</v>
      </c>
      <c r="J5" s="160"/>
      <c r="K5" s="80">
        <f>IF(LEN(L5)&gt;0,VLOOKUP(L5,'1. Lists'!$AK:$AL,2,FALSE),"")</f>
        <v>9</v>
      </c>
      <c r="L5" s="144" t="s">
        <v>159</v>
      </c>
      <c r="M5" s="168">
        <f>IF(LEN(N5)&gt;0,VLOOKUP(N5,'1. Lists'!$AN:$AQ,4,FALSE),"")</f>
        <v>2</v>
      </c>
      <c r="N5" s="180" t="s">
        <v>382</v>
      </c>
      <c r="O5" s="80">
        <f>IF(LEN(P5)&gt;0,VLOOKUP(P5,'1. Lists'!$AA:$AC,3,FALSE),"")</f>
        <v>5</v>
      </c>
      <c r="P5" s="143" t="s">
        <v>42</v>
      </c>
      <c r="Q5" s="73">
        <f>IF(LEN(R5)&gt;0,VLOOKUP(R5,'1. Lists'!$W:$Y,3,FALSE),"")</f>
        <v>1</v>
      </c>
      <c r="R5" s="142" t="s">
        <v>169</v>
      </c>
      <c r="S5" s="73">
        <f>IF(LEN(T5)&gt;0,VLOOKUP(T5,'1. Lists'!$AH:$AI,2,FALSE),"")</f>
        <v>11</v>
      </c>
      <c r="T5" s="146" t="s">
        <v>396</v>
      </c>
      <c r="U5" s="76">
        <f>IF(LEN(V5)&gt;0,VLOOKUP(V5,'1. Lists'!$AE:$AF,2,FALSE),"")</f>
        <v>11</v>
      </c>
      <c r="V5" s="181" t="s">
        <v>355</v>
      </c>
      <c r="W5" s="182"/>
      <c r="X5" s="183" t="str">
        <f>IF(W5&gt;0,VLOOKUP($W5,#REF!,4,FALSE),"")</f>
        <v/>
      </c>
      <c r="Y5" s="78" t="str">
        <f>IF(W5&gt;0,VLOOKUP($W5,#REF!,10,FALSE),"")</f>
        <v/>
      </c>
      <c r="Z5" s="132" t="s">
        <v>555</v>
      </c>
      <c r="AA5" s="132" t="s">
        <v>482</v>
      </c>
      <c r="AB5" s="80">
        <f>IF(LEN(AC5)&gt;0,VLOOKUP(AC5,'1. Lists'!$AV$3:$AX$7,3,FALSE),"")</f>
        <v>2</v>
      </c>
      <c r="AC5" s="151" t="s">
        <v>13</v>
      </c>
      <c r="AD5" s="80">
        <f>IF(LEN(AE5)&gt;0,VLOOKUP(AE5,'1. Lists'!$AZ$3:$BB$7,3,FALSE),"")</f>
        <v>1</v>
      </c>
      <c r="AE5" s="152" t="s">
        <v>15</v>
      </c>
      <c r="AF5" s="160"/>
      <c r="AG5" s="160"/>
      <c r="AH5" s="80">
        <f>IF(LEN(AI5)&gt;0,VLOOKUP(AI5,'1. Lists'!$BD$3:$BF$15,3,FALSE),"")</f>
        <v>5</v>
      </c>
      <c r="AI5" s="142" t="s">
        <v>340</v>
      </c>
      <c r="AJ5" s="143" t="s">
        <v>68</v>
      </c>
      <c r="AK5" s="144" t="s">
        <v>461</v>
      </c>
      <c r="AL5" s="125" t="s">
        <v>367</v>
      </c>
      <c r="AM5" s="154">
        <v>1</v>
      </c>
      <c r="AN5" s="160"/>
      <c r="AO5" s="184" t="s">
        <v>587</v>
      </c>
      <c r="AP5" s="184" t="s">
        <v>574</v>
      </c>
      <c r="AQ5" s="160"/>
      <c r="AR5" s="160"/>
      <c r="AS5" s="160"/>
      <c r="AT5" s="160"/>
      <c r="AU5" s="144" t="s">
        <v>460</v>
      </c>
      <c r="AV5" s="80" t="str">
        <f>IF(LEN(AW5)&gt;0,VLOOKUP(AW5,'1. Lists'!$BQ:$BR,2,FALSE),"")</f>
        <v>CO</v>
      </c>
      <c r="AW5" s="151" t="s">
        <v>12</v>
      </c>
      <c r="AX5" s="80">
        <f>IF(LEN(AY5)&gt;0,VLOOKUP(AY5,'1. Lists'!$BU$3:$BW$5,3,FALSE),"")</f>
        <v>3</v>
      </c>
      <c r="AY5" s="152" t="s">
        <v>83</v>
      </c>
      <c r="AZ5" s="155">
        <v>1</v>
      </c>
      <c r="BA5" s="159">
        <f t="shared" si="0"/>
        <v>1</v>
      </c>
      <c r="BC5" s="158">
        <v>0</v>
      </c>
      <c r="BD5" s="158">
        <v>0</v>
      </c>
      <c r="BE5" s="158">
        <v>0</v>
      </c>
      <c r="BF5" s="158">
        <v>0</v>
      </c>
      <c r="BG5" s="158">
        <v>0</v>
      </c>
      <c r="BH5" s="158">
        <v>0</v>
      </c>
      <c r="BI5" s="158">
        <v>0</v>
      </c>
      <c r="BJ5" s="158">
        <v>0</v>
      </c>
      <c r="BK5" s="158">
        <v>0</v>
      </c>
      <c r="BL5" s="158">
        <v>0</v>
      </c>
      <c r="BM5" s="158">
        <v>1</v>
      </c>
      <c r="BN5" s="158">
        <v>0</v>
      </c>
      <c r="BP5" s="80">
        <f t="shared" si="1"/>
        <v>1</v>
      </c>
      <c r="BQ5" s="80">
        <f t="shared" si="2"/>
        <v>1</v>
      </c>
      <c r="BR5" s="80">
        <f t="shared" si="3"/>
        <v>1</v>
      </c>
      <c r="BS5" s="80">
        <v>0</v>
      </c>
      <c r="BU5" s="80">
        <f t="shared" si="4"/>
        <v>1</v>
      </c>
      <c r="BV5" s="80">
        <f t="shared" si="5"/>
        <v>1</v>
      </c>
      <c r="BW5" s="80">
        <f t="shared" si="6"/>
        <v>1</v>
      </c>
    </row>
    <row r="6" spans="1:75" s="80" customFormat="1" ht="75" x14ac:dyDescent="0.25">
      <c r="A6" s="174">
        <f t="shared" ref="A6:A48" si="7">IF(COUNTBLANK(B6:BN6)&lt;65,A5+1,0)</f>
        <v>3</v>
      </c>
      <c r="B6" s="80">
        <f>IF(LEN(D6)&gt;0,VLOOKUP(D6,'1. Lists'!$E$3:$J$52,6,FALSE),"")</f>
        <v>8</v>
      </c>
      <c r="C6" s="80" t="str">
        <f>IF(LEN(D6)&gt;0,VLOOKUP(D6,'1. Lists'!$E$3:$F$52,2,FALSE),"")</f>
        <v>Administration &amp; Community Services</v>
      </c>
      <c r="D6" s="120" t="s">
        <v>367</v>
      </c>
      <c r="E6" s="179"/>
      <c r="F6" s="65" t="str">
        <f>IF(E6&gt;0,VLOOKUP(E6,'2. Top Layer'!$A:$C,3,FALSE),"")</f>
        <v/>
      </c>
      <c r="G6" s="65" t="str">
        <f>IF(E6&gt;0,VLOOKUP(E6,'2. Top Layer'!$A:$T,17,FALSE),"")</f>
        <v/>
      </c>
      <c r="H6" s="80">
        <f>IF(LEN(I6)&gt;0,VLOOKUP(I6,'1. Lists'!$T:$U,2,FALSE),"")</f>
        <v>63</v>
      </c>
      <c r="I6" s="152" t="s">
        <v>441</v>
      </c>
      <c r="J6" s="160"/>
      <c r="K6" s="80">
        <f>IF(LEN(L6)&gt;0,VLOOKUP(L6,'1. Lists'!$AK:$AL,2,FALSE),"")</f>
        <v>9</v>
      </c>
      <c r="L6" s="144" t="s">
        <v>159</v>
      </c>
      <c r="M6" s="168">
        <f>IF(LEN(N6)&gt;0,VLOOKUP(N6,'1. Lists'!$AN:$AQ,4,FALSE),"")</f>
        <v>2</v>
      </c>
      <c r="N6" s="180" t="s">
        <v>382</v>
      </c>
      <c r="O6" s="80">
        <f>IF(LEN(P6)&gt;0,VLOOKUP(P6,'1. Lists'!$AA:$AC,3,FALSE),"")</f>
        <v>5</v>
      </c>
      <c r="P6" s="143" t="s">
        <v>42</v>
      </c>
      <c r="Q6" s="73">
        <f>IF(LEN(R6)&gt;0,VLOOKUP(R6,'1. Lists'!$W:$Y,3,FALSE),"")</f>
        <v>1</v>
      </c>
      <c r="R6" s="142" t="s">
        <v>169</v>
      </c>
      <c r="S6" s="73">
        <f>IF(LEN(T6)&gt;0,VLOOKUP(T6,'1. Lists'!$AH:$AI,2,FALSE),"")</f>
        <v>13</v>
      </c>
      <c r="T6" s="146" t="s">
        <v>398</v>
      </c>
      <c r="U6" s="76">
        <f>IF(LEN(V6)&gt;0,VLOOKUP(V6,'1. Lists'!$AE:$AF,2,FALSE),"")</f>
        <v>11</v>
      </c>
      <c r="V6" s="181" t="s">
        <v>355</v>
      </c>
      <c r="W6" s="182"/>
      <c r="X6" s="183" t="s">
        <v>759</v>
      </c>
      <c r="Y6" s="78" t="s">
        <v>759</v>
      </c>
      <c r="Z6" s="132" t="s">
        <v>775</v>
      </c>
      <c r="AA6" s="132" t="s">
        <v>776</v>
      </c>
      <c r="AB6" s="80">
        <f>IF(LEN(AC6)&gt;0,VLOOKUP(AC6,'1. Lists'!$AV$3:$AX$7,3,FALSE),"")</f>
        <v>2</v>
      </c>
      <c r="AC6" s="151" t="s">
        <v>13</v>
      </c>
      <c r="AD6" s="80">
        <f>IF(LEN(AE6)&gt;0,VLOOKUP(AE6,'1. Lists'!$AZ$3:$BB$7,3,FALSE),"")</f>
        <v>2</v>
      </c>
      <c r="AE6" s="152" t="s">
        <v>9</v>
      </c>
      <c r="AF6" s="160"/>
      <c r="AG6" s="160"/>
      <c r="AH6" s="80">
        <f>IF(LEN(AI6)&gt;0,VLOOKUP(AI6,'1. Lists'!$BD$3:$BF$15,3,FALSE),"")</f>
        <v>5</v>
      </c>
      <c r="AI6" s="142" t="s">
        <v>340</v>
      </c>
      <c r="AJ6" s="143" t="s">
        <v>68</v>
      </c>
      <c r="AK6" s="144" t="s">
        <v>461</v>
      </c>
      <c r="AL6" s="125" t="s">
        <v>367</v>
      </c>
      <c r="AM6" s="154" t="s">
        <v>762</v>
      </c>
      <c r="AN6" s="160"/>
      <c r="AO6" s="154" t="s">
        <v>777</v>
      </c>
      <c r="AP6" s="154" t="s">
        <v>778</v>
      </c>
      <c r="AQ6" s="160"/>
      <c r="AR6" s="160"/>
      <c r="AS6" s="160"/>
      <c r="AT6" s="160"/>
      <c r="AU6" s="144" t="s">
        <v>460</v>
      </c>
      <c r="AV6" s="80" t="str">
        <f>IF(LEN(AW6)&gt;0,VLOOKUP(AW6,'1. Lists'!$BQ:$BR,2,FALSE),"")</f>
        <v>STD</v>
      </c>
      <c r="AW6" s="151" t="s">
        <v>78</v>
      </c>
      <c r="AX6" s="80">
        <f>IF(LEN(AY6)&gt;0,VLOOKUP(AY6,'1. Lists'!$BU$3:$BW$5,3,FALSE),"")</f>
        <v>2</v>
      </c>
      <c r="AY6" s="152" t="s">
        <v>82</v>
      </c>
      <c r="AZ6" s="155">
        <v>100</v>
      </c>
      <c r="BA6" s="159">
        <f t="shared" si="0"/>
        <v>100</v>
      </c>
      <c r="BC6" s="158">
        <v>0</v>
      </c>
      <c r="BD6" s="158">
        <v>100</v>
      </c>
      <c r="BE6" s="158">
        <v>0</v>
      </c>
      <c r="BF6" s="158">
        <v>0</v>
      </c>
      <c r="BG6" s="158">
        <v>0</v>
      </c>
      <c r="BH6" s="158">
        <v>0</v>
      </c>
      <c r="BI6" s="158">
        <v>0</v>
      </c>
      <c r="BJ6" s="158">
        <v>0</v>
      </c>
      <c r="BK6" s="158">
        <v>0</v>
      </c>
      <c r="BL6" s="158">
        <v>0</v>
      </c>
      <c r="BM6" s="158">
        <v>0</v>
      </c>
      <c r="BN6" s="158">
        <v>0</v>
      </c>
      <c r="BP6" s="80">
        <f t="shared" si="1"/>
        <v>100</v>
      </c>
      <c r="BQ6" s="80">
        <f t="shared" si="2"/>
        <v>100</v>
      </c>
      <c r="BR6" s="80">
        <f t="shared" si="3"/>
        <v>100</v>
      </c>
      <c r="BS6" s="80">
        <v>0</v>
      </c>
      <c r="BU6" s="80">
        <f t="shared" si="4"/>
        <v>100</v>
      </c>
      <c r="BV6" s="80">
        <f t="shared" si="5"/>
        <v>100</v>
      </c>
      <c r="BW6" s="80">
        <f t="shared" si="6"/>
        <v>100</v>
      </c>
    </row>
    <row r="7" spans="1:75" s="80" customFormat="1" ht="75" x14ac:dyDescent="0.25">
      <c r="A7" s="174">
        <f t="shared" si="7"/>
        <v>4</v>
      </c>
      <c r="B7" s="80">
        <f>IF(LEN(D7)&gt;0,VLOOKUP(D7,'1. Lists'!$E$3:$J$52,6,FALSE),"")</f>
        <v>8</v>
      </c>
      <c r="C7" s="80" t="str">
        <f>IF(LEN(D7)&gt;0,VLOOKUP(D7,'1. Lists'!$E$3:$F$52,2,FALSE),"")</f>
        <v>Administration &amp; Community Services</v>
      </c>
      <c r="D7" s="120" t="s">
        <v>367</v>
      </c>
      <c r="E7" s="179"/>
      <c r="F7" s="65" t="str">
        <f>IF(E7&gt;0,VLOOKUP(E7,'2. Top Layer'!$A:$C,3,FALSE),"")</f>
        <v/>
      </c>
      <c r="G7" s="65" t="str">
        <f>IF(E7&gt;0,VLOOKUP(E7,'2. Top Layer'!$A:$T,17,FALSE),"")</f>
        <v/>
      </c>
      <c r="H7" s="80">
        <f>IF(LEN(I7)&gt;0,VLOOKUP(I7,'1. Lists'!$T:$U,2,FALSE),"")</f>
        <v>63</v>
      </c>
      <c r="I7" s="152" t="s">
        <v>441</v>
      </c>
      <c r="J7" s="160"/>
      <c r="K7" s="80">
        <f>IF(LEN(L7)&gt;0,VLOOKUP(L7,'1. Lists'!$AK:$AL,2,FALSE),"")</f>
        <v>9</v>
      </c>
      <c r="L7" s="144" t="s">
        <v>159</v>
      </c>
      <c r="M7" s="168">
        <f>IF(LEN(N7)&gt;0,VLOOKUP(N7,'1. Lists'!$AN:$AQ,4,FALSE),"")</f>
        <v>2</v>
      </c>
      <c r="N7" s="180" t="s">
        <v>382</v>
      </c>
      <c r="O7" s="80">
        <f>IF(LEN(P7)&gt;0,VLOOKUP(P7,'1. Lists'!$AA:$AC,3,FALSE),"")</f>
        <v>5</v>
      </c>
      <c r="P7" s="143" t="s">
        <v>42</v>
      </c>
      <c r="Q7" s="73">
        <f>IF(LEN(R7)&gt;0,VLOOKUP(R7,'1. Lists'!$W:$Y,3,FALSE),"")</f>
        <v>1</v>
      </c>
      <c r="R7" s="142" t="s">
        <v>169</v>
      </c>
      <c r="S7" s="73">
        <f>IF(LEN(T7)&gt;0,VLOOKUP(T7,'1. Lists'!$AH:$AI,2,FALSE),"")</f>
        <v>13</v>
      </c>
      <c r="T7" s="146" t="s">
        <v>398</v>
      </c>
      <c r="U7" s="76">
        <f>IF(LEN(V7)&gt;0,VLOOKUP(V7,'1. Lists'!$AE:$AF,2,FALSE),"")</f>
        <v>11</v>
      </c>
      <c r="V7" s="181" t="s">
        <v>355</v>
      </c>
      <c r="W7" s="182"/>
      <c r="X7" s="183" t="s">
        <v>759</v>
      </c>
      <c r="Y7" s="78" t="s">
        <v>759</v>
      </c>
      <c r="Z7" s="132" t="s">
        <v>779</v>
      </c>
      <c r="AA7" s="132" t="s">
        <v>769</v>
      </c>
      <c r="AB7" s="80">
        <f>IF(LEN(AC7)&gt;0,VLOOKUP(AC7,'1. Lists'!$AV$3:$AX$7,3,FALSE),"")</f>
        <v>2</v>
      </c>
      <c r="AC7" s="151" t="s">
        <v>13</v>
      </c>
      <c r="AD7" s="80">
        <f>IF(LEN(AE7)&gt;0,VLOOKUP(AE7,'1. Lists'!$AZ$3:$BB$7,3,FALSE),"")</f>
        <v>2</v>
      </c>
      <c r="AE7" s="152" t="s">
        <v>9</v>
      </c>
      <c r="AF7" s="160"/>
      <c r="AG7" s="160"/>
      <c r="AH7" s="80">
        <f>IF(LEN(AI7)&gt;0,VLOOKUP(AI7,'1. Lists'!$BD$3:$BF$15,3,FALSE),"")</f>
        <v>5</v>
      </c>
      <c r="AI7" s="142" t="s">
        <v>340</v>
      </c>
      <c r="AJ7" s="143" t="s">
        <v>68</v>
      </c>
      <c r="AK7" s="144" t="s">
        <v>461</v>
      </c>
      <c r="AL7" s="125" t="s">
        <v>367</v>
      </c>
      <c r="AM7" s="154" t="s">
        <v>762</v>
      </c>
      <c r="AN7" s="160"/>
      <c r="AO7" s="154" t="s">
        <v>780</v>
      </c>
      <c r="AP7" s="154" t="s">
        <v>781</v>
      </c>
      <c r="AQ7" s="160"/>
      <c r="AR7" s="160"/>
      <c r="AS7" s="160"/>
      <c r="AT7" s="160"/>
      <c r="AU7" s="144" t="s">
        <v>460</v>
      </c>
      <c r="AV7" s="80" t="str">
        <f>IF(LEN(AW7)&gt;0,VLOOKUP(AW7,'1. Lists'!$BQ:$BR,2,FALSE),"")</f>
        <v>ACC</v>
      </c>
      <c r="AW7" s="151" t="s">
        <v>14</v>
      </c>
      <c r="AX7" s="80">
        <f>IF(LEN(AY7)&gt;0,VLOOKUP(AY7,'1. Lists'!$BU$3:$BW$5,3,FALSE),"")</f>
        <v>3</v>
      </c>
      <c r="AY7" s="152" t="s">
        <v>83</v>
      </c>
      <c r="AZ7" s="155">
        <v>2</v>
      </c>
      <c r="BA7" s="159">
        <f t="shared" si="0"/>
        <v>2</v>
      </c>
      <c r="BC7" s="158">
        <v>0</v>
      </c>
      <c r="BD7" s="158">
        <v>1</v>
      </c>
      <c r="BE7" s="158">
        <v>0</v>
      </c>
      <c r="BF7" s="158">
        <v>0</v>
      </c>
      <c r="BG7" s="158">
        <v>0</v>
      </c>
      <c r="BH7" s="158">
        <v>0</v>
      </c>
      <c r="BI7" s="158">
        <v>0</v>
      </c>
      <c r="BJ7" s="158">
        <v>1</v>
      </c>
      <c r="BK7" s="158">
        <v>0</v>
      </c>
      <c r="BL7" s="158">
        <v>0</v>
      </c>
      <c r="BM7" s="158">
        <v>0</v>
      </c>
      <c r="BN7" s="158">
        <v>0</v>
      </c>
      <c r="BP7" s="80">
        <f t="shared" si="1"/>
        <v>1</v>
      </c>
      <c r="BQ7" s="80">
        <f t="shared" si="2"/>
        <v>2</v>
      </c>
      <c r="BR7" s="80">
        <f t="shared" si="3"/>
        <v>1</v>
      </c>
      <c r="BS7" s="80">
        <v>0</v>
      </c>
      <c r="BU7" s="80">
        <f t="shared" si="4"/>
        <v>1</v>
      </c>
      <c r="BV7" s="80">
        <f t="shared" si="5"/>
        <v>1</v>
      </c>
      <c r="BW7" s="80">
        <f t="shared" si="6"/>
        <v>1</v>
      </c>
    </row>
    <row r="8" spans="1:75" s="80" customFormat="1" ht="75" x14ac:dyDescent="0.25">
      <c r="A8" s="174">
        <f t="shared" si="7"/>
        <v>5</v>
      </c>
      <c r="B8" s="80">
        <f>IF(LEN(D8)&gt;0,VLOOKUP(D8,'1. Lists'!$E$3:$J$52,6,FALSE),"")</f>
        <v>8</v>
      </c>
      <c r="C8" s="80" t="str">
        <f>IF(LEN(D8)&gt;0,VLOOKUP(D8,'1. Lists'!$E$3:$F$52,2,FALSE),"")</f>
        <v>Administration &amp; Community Services</v>
      </c>
      <c r="D8" s="120" t="s">
        <v>367</v>
      </c>
      <c r="E8" s="179"/>
      <c r="F8" s="65" t="str">
        <f>IF(E8&gt;0,VLOOKUP(E8,'2. Top Layer'!$A:$C,3,FALSE),"")</f>
        <v/>
      </c>
      <c r="G8" s="65" t="str">
        <f>IF(E8&gt;0,VLOOKUP(E8,'2. Top Layer'!$A:$T,17,FALSE),"")</f>
        <v/>
      </c>
      <c r="H8" s="80">
        <f>IF(LEN(I8)&gt;0,VLOOKUP(I8,'1. Lists'!$T:$U,2,FALSE),"")</f>
        <v>63</v>
      </c>
      <c r="I8" s="152" t="s">
        <v>441</v>
      </c>
      <c r="J8" s="160"/>
      <c r="K8" s="80">
        <f>IF(LEN(L8)&gt;0,VLOOKUP(L8,'1. Lists'!$AK:$AL,2,FALSE),"")</f>
        <v>9</v>
      </c>
      <c r="L8" s="144" t="s">
        <v>159</v>
      </c>
      <c r="M8" s="168">
        <f>IF(LEN(N8)&gt;0,VLOOKUP(N8,'1. Lists'!$AN:$AQ,4,FALSE),"")</f>
        <v>2</v>
      </c>
      <c r="N8" s="180" t="s">
        <v>382</v>
      </c>
      <c r="O8" s="80">
        <f>IF(LEN(P8)&gt;0,VLOOKUP(P8,'1. Lists'!$AA:$AC,3,FALSE),"")</f>
        <v>5</v>
      </c>
      <c r="P8" s="143" t="s">
        <v>42</v>
      </c>
      <c r="Q8" s="73">
        <f>IF(LEN(R8)&gt;0,VLOOKUP(R8,'1. Lists'!$W:$Y,3,FALSE),"")</f>
        <v>1</v>
      </c>
      <c r="R8" s="142" t="s">
        <v>169</v>
      </c>
      <c r="S8" s="73">
        <f>IF(LEN(T8)&gt;0,VLOOKUP(T8,'1. Lists'!$AH:$AI,2,FALSE),"")</f>
        <v>11</v>
      </c>
      <c r="T8" s="146" t="s">
        <v>396</v>
      </c>
      <c r="U8" s="76">
        <f>IF(LEN(V8)&gt;0,VLOOKUP(V8,'1. Lists'!$AE:$AF,2,FALSE),"")</f>
        <v>11</v>
      </c>
      <c r="V8" s="181" t="s">
        <v>355</v>
      </c>
      <c r="W8" s="182"/>
      <c r="X8" s="183"/>
      <c r="Y8" s="78"/>
      <c r="Z8" s="132" t="s">
        <v>787</v>
      </c>
      <c r="AA8" s="132" t="s">
        <v>788</v>
      </c>
      <c r="AB8" s="80">
        <f>IF(LEN(AC8)&gt;0,VLOOKUP(AC8,'1. Lists'!$AV$3:$AX$7,3,FALSE),"")</f>
        <v>2</v>
      </c>
      <c r="AC8" s="151" t="s">
        <v>13</v>
      </c>
      <c r="AD8" s="80">
        <f>IF(LEN(AE8)&gt;0,VLOOKUP(AE8,'1. Lists'!$AZ$3:$BB$7,3,FALSE),"")</f>
        <v>1</v>
      </c>
      <c r="AE8" s="152" t="s">
        <v>15</v>
      </c>
      <c r="AF8" s="160"/>
      <c r="AG8" s="160"/>
      <c r="AH8" s="80">
        <f>IF(LEN(AI8)&gt;0,VLOOKUP(AI8,'1. Lists'!$BD$3:$BF$15,3,FALSE),"")</f>
        <v>5</v>
      </c>
      <c r="AI8" s="142" t="s">
        <v>340</v>
      </c>
      <c r="AJ8" s="143" t="s">
        <v>68</v>
      </c>
      <c r="AK8" s="144" t="s">
        <v>461</v>
      </c>
      <c r="AL8" s="125" t="s">
        <v>367</v>
      </c>
      <c r="AM8" s="185" t="s">
        <v>762</v>
      </c>
      <c r="AN8" s="160"/>
      <c r="AO8" s="154" t="s">
        <v>789</v>
      </c>
      <c r="AP8" s="184" t="s">
        <v>790</v>
      </c>
      <c r="AQ8" s="160"/>
      <c r="AR8" s="160"/>
      <c r="AS8" s="160"/>
      <c r="AT8" s="160"/>
      <c r="AU8" s="144" t="s">
        <v>460</v>
      </c>
      <c r="AV8" s="80" t="str">
        <f>IF(LEN(AW8)&gt;0,VLOOKUP(AW8,'1. Lists'!$BQ:$BR,2,FALSE),"")</f>
        <v>CO</v>
      </c>
      <c r="AW8" s="151" t="s">
        <v>12</v>
      </c>
      <c r="AX8" s="80">
        <f>IF(LEN(AY8)&gt;0,VLOOKUP(AY8,'1. Lists'!$BU$3:$BW$5,3,FALSE),"")</f>
        <v>3</v>
      </c>
      <c r="AY8" s="152" t="s">
        <v>83</v>
      </c>
      <c r="AZ8" s="155">
        <v>1</v>
      </c>
      <c r="BA8" s="159">
        <f t="shared" si="0"/>
        <v>1</v>
      </c>
      <c r="BC8" s="158">
        <v>0</v>
      </c>
      <c r="BD8" s="158">
        <v>0</v>
      </c>
      <c r="BE8" s="158">
        <v>0</v>
      </c>
      <c r="BF8" s="158">
        <v>1</v>
      </c>
      <c r="BG8" s="158">
        <v>0</v>
      </c>
      <c r="BH8" s="158">
        <v>0</v>
      </c>
      <c r="BI8" s="158">
        <v>0</v>
      </c>
      <c r="BJ8" s="158">
        <v>0</v>
      </c>
      <c r="BK8" s="158">
        <v>0</v>
      </c>
      <c r="BL8" s="158">
        <v>0</v>
      </c>
      <c r="BM8" s="158">
        <v>0</v>
      </c>
      <c r="BN8" s="158">
        <v>0</v>
      </c>
      <c r="BP8" s="80">
        <f t="shared" si="1"/>
        <v>1</v>
      </c>
      <c r="BQ8" s="80">
        <f t="shared" si="2"/>
        <v>1</v>
      </c>
      <c r="BR8" s="80">
        <f t="shared" si="3"/>
        <v>1</v>
      </c>
      <c r="BU8" s="80">
        <f t="shared" si="4"/>
        <v>1</v>
      </c>
      <c r="BV8" s="80">
        <f t="shared" si="5"/>
        <v>1</v>
      </c>
      <c r="BW8" s="80">
        <f t="shared" si="6"/>
        <v>1</v>
      </c>
    </row>
    <row r="9" spans="1:75" s="80" customFormat="1" ht="75" x14ac:dyDescent="0.25">
      <c r="A9" s="174">
        <f t="shared" si="7"/>
        <v>6</v>
      </c>
      <c r="B9" s="80">
        <f>IF(LEN(D9)&gt;0,VLOOKUP(D9,'1. Lists'!$E$3:$J$52,6,FALSE),"")</f>
        <v>8</v>
      </c>
      <c r="C9" s="80" t="str">
        <f>IF(LEN(D9)&gt;0,VLOOKUP(D9,'1. Lists'!$E$3:$F$52,2,FALSE),"")</f>
        <v>Administration &amp; Community Services</v>
      </c>
      <c r="D9" s="120" t="s">
        <v>367</v>
      </c>
      <c r="E9" s="179"/>
      <c r="F9" s="65" t="str">
        <f>IF(E9&gt;0,VLOOKUP(E9,'2. Top Layer'!$A:$C,3,FALSE),"")</f>
        <v/>
      </c>
      <c r="G9" s="65" t="str">
        <f>IF(E9&gt;0,VLOOKUP(E9,'2. Top Layer'!$A:$T,17,FALSE),"")</f>
        <v/>
      </c>
      <c r="H9" s="80">
        <f>IF(LEN(I9)&gt;0,VLOOKUP(I9,'1. Lists'!$T:$U,2,FALSE),"")</f>
        <v>63</v>
      </c>
      <c r="I9" s="152" t="s">
        <v>441</v>
      </c>
      <c r="J9" s="160"/>
      <c r="K9" s="80">
        <f>IF(LEN(L9)&gt;0,VLOOKUP(L9,'1. Lists'!$AK:$AL,2,FALSE),"")</f>
        <v>9</v>
      </c>
      <c r="L9" s="144" t="s">
        <v>159</v>
      </c>
      <c r="M9" s="168">
        <f>IF(LEN(N9)&gt;0,VLOOKUP(N9,'1. Lists'!$AN:$AQ,4,FALSE),"")</f>
        <v>2</v>
      </c>
      <c r="N9" s="180" t="s">
        <v>382</v>
      </c>
      <c r="O9" s="80">
        <f>IF(LEN(P9)&gt;0,VLOOKUP(P9,'1. Lists'!$AA:$AC,3,FALSE),"")</f>
        <v>5</v>
      </c>
      <c r="P9" s="143" t="s">
        <v>42</v>
      </c>
      <c r="Q9" s="73">
        <f>IF(LEN(R9)&gt;0,VLOOKUP(R9,'1. Lists'!$W:$Y,3,FALSE),"")</f>
        <v>1</v>
      </c>
      <c r="R9" s="142" t="s">
        <v>169</v>
      </c>
      <c r="S9" s="73">
        <f>IF(LEN(T9)&gt;0,VLOOKUP(T9,'1. Lists'!$AH:$AI,2,FALSE),"")</f>
        <v>11</v>
      </c>
      <c r="T9" s="146" t="s">
        <v>396</v>
      </c>
      <c r="U9" s="76">
        <f>IF(LEN(V9)&gt;0,VLOOKUP(V9,'1. Lists'!$AE:$AF,2,FALSE),"")</f>
        <v>11</v>
      </c>
      <c r="V9" s="181" t="s">
        <v>355</v>
      </c>
      <c r="W9" s="182"/>
      <c r="X9" s="183" t="str">
        <f>IF(W9&gt;0,VLOOKUP($W9,#REF!,4,FALSE),"")</f>
        <v/>
      </c>
      <c r="Y9" s="78" t="str">
        <f>IF(W9&gt;0,VLOOKUP($W9,#REF!,10,FALSE),"")</f>
        <v/>
      </c>
      <c r="Z9" s="132" t="s">
        <v>791</v>
      </c>
      <c r="AA9" s="132" t="s">
        <v>468</v>
      </c>
      <c r="AB9" s="80">
        <f>IF(LEN(AC9)&gt;0,VLOOKUP(AC9,'1. Lists'!$AV$3:$AX$7,3,FALSE),"")</f>
        <v>2</v>
      </c>
      <c r="AC9" s="151" t="s">
        <v>13</v>
      </c>
      <c r="AD9" s="80">
        <f>IF(LEN(AE9)&gt;0,VLOOKUP(AE9,'1. Lists'!$AZ$3:$BB$7,3,FALSE),"")</f>
        <v>2</v>
      </c>
      <c r="AE9" s="152" t="s">
        <v>9</v>
      </c>
      <c r="AF9" s="160"/>
      <c r="AG9" s="160"/>
      <c r="AH9" s="80">
        <f>IF(LEN(AI9)&gt;0,VLOOKUP(AI9,'1. Lists'!$BD$3:$BF$15,3,FALSE),"")</f>
        <v>5</v>
      </c>
      <c r="AI9" s="142" t="s">
        <v>340</v>
      </c>
      <c r="AJ9" s="143" t="s">
        <v>68</v>
      </c>
      <c r="AK9" s="144" t="s">
        <v>461</v>
      </c>
      <c r="AL9" s="125" t="s">
        <v>367</v>
      </c>
      <c r="AM9" s="154">
        <v>10</v>
      </c>
      <c r="AN9" s="160"/>
      <c r="AO9" s="154" t="s">
        <v>601</v>
      </c>
      <c r="AP9" s="184" t="s">
        <v>790</v>
      </c>
      <c r="AQ9" s="160"/>
      <c r="AR9" s="160"/>
      <c r="AS9" s="160"/>
      <c r="AT9" s="160"/>
      <c r="AU9" s="144" t="s">
        <v>460</v>
      </c>
      <c r="AV9" s="80" t="str">
        <f>IF(LEN(AW9)&gt;0,VLOOKUP(AW9,'1. Lists'!$BQ:$BR,2,FALSE),"")</f>
        <v>ACC</v>
      </c>
      <c r="AW9" s="151" t="s">
        <v>14</v>
      </c>
      <c r="AX9" s="80">
        <f>IF(LEN(AY9)&gt;0,VLOOKUP(AY9,'1. Lists'!$BU$3:$BW$5,3,FALSE),"")</f>
        <v>3</v>
      </c>
      <c r="AY9" s="152" t="s">
        <v>83</v>
      </c>
      <c r="AZ9" s="155">
        <v>12</v>
      </c>
      <c r="BA9" s="159">
        <f t="shared" si="0"/>
        <v>12</v>
      </c>
      <c r="BC9" s="158">
        <v>1</v>
      </c>
      <c r="BD9" s="158">
        <v>1</v>
      </c>
      <c r="BE9" s="158">
        <v>1</v>
      </c>
      <c r="BF9" s="158">
        <v>1</v>
      </c>
      <c r="BG9" s="158">
        <v>1</v>
      </c>
      <c r="BH9" s="158">
        <v>1</v>
      </c>
      <c r="BI9" s="158">
        <v>1</v>
      </c>
      <c r="BJ9" s="158">
        <v>1</v>
      </c>
      <c r="BK9" s="158">
        <v>1</v>
      </c>
      <c r="BL9" s="158">
        <v>1</v>
      </c>
      <c r="BM9" s="158">
        <v>1</v>
      </c>
      <c r="BN9" s="158">
        <v>1</v>
      </c>
      <c r="BP9" s="80">
        <f t="shared" si="1"/>
        <v>1</v>
      </c>
      <c r="BQ9" s="80">
        <f t="shared" si="2"/>
        <v>12</v>
      </c>
      <c r="BR9" s="80">
        <f t="shared" si="3"/>
        <v>1</v>
      </c>
      <c r="BS9" s="80">
        <v>0</v>
      </c>
      <c r="BU9" s="80">
        <f t="shared" si="4"/>
        <v>1</v>
      </c>
      <c r="BV9" s="80">
        <f t="shared" si="5"/>
        <v>1</v>
      </c>
      <c r="BW9" s="80">
        <f t="shared" si="6"/>
        <v>1</v>
      </c>
    </row>
    <row r="10" spans="1:75" s="80" customFormat="1" ht="75" x14ac:dyDescent="0.25">
      <c r="A10" s="174">
        <f t="shared" si="7"/>
        <v>7</v>
      </c>
      <c r="B10" s="80">
        <f>IF(LEN(D10)&gt;0,VLOOKUP(D10,'1. Lists'!$E$3:$J$52,6,FALSE),"")</f>
        <v>8</v>
      </c>
      <c r="C10" s="80" t="str">
        <f>IF(LEN(D10)&gt;0,VLOOKUP(D10,'1. Lists'!$E$3:$F$52,2,FALSE),"")</f>
        <v>Administration &amp; Community Services</v>
      </c>
      <c r="D10" s="120" t="s">
        <v>367</v>
      </c>
      <c r="E10" s="179"/>
      <c r="F10" s="65"/>
      <c r="G10" s="65"/>
      <c r="H10" s="80">
        <f>IF(LEN(I10)&gt;0,VLOOKUP(I10,'1. Lists'!$T:$U,2,FALSE),"")</f>
        <v>63</v>
      </c>
      <c r="I10" s="152" t="s">
        <v>441</v>
      </c>
      <c r="J10" s="160"/>
      <c r="K10" s="80">
        <f>IF(LEN(L10)&gt;0,VLOOKUP(L10,'1. Lists'!$AK:$AL,2,FALSE),"")</f>
        <v>9</v>
      </c>
      <c r="L10" s="144" t="s">
        <v>159</v>
      </c>
      <c r="M10" s="168">
        <f>IF(LEN(N10)&gt;0,VLOOKUP(N10,'1. Lists'!$AN:$AQ,4,FALSE),"")</f>
        <v>2</v>
      </c>
      <c r="N10" s="180" t="s">
        <v>382</v>
      </c>
      <c r="O10" s="80">
        <f>IF(LEN(P10)&gt;0,VLOOKUP(P10,'1. Lists'!$AA:$AC,3,FALSE),"")</f>
        <v>4</v>
      </c>
      <c r="P10" s="143" t="s">
        <v>41</v>
      </c>
      <c r="Q10" s="73">
        <f>IF(LEN(R10)&gt;0,VLOOKUP(R10,'1. Lists'!$W:$Y,3,FALSE),"")</f>
        <v>1</v>
      </c>
      <c r="R10" s="142" t="s">
        <v>169</v>
      </c>
      <c r="S10" s="73">
        <f>IF(LEN(T10)&gt;0,VLOOKUP(T10,'1. Lists'!$AH:$AI,2,FALSE),"")</f>
        <v>11</v>
      </c>
      <c r="T10" s="146" t="s">
        <v>396</v>
      </c>
      <c r="U10" s="76">
        <f>IF(LEN(V10)&gt;0,VLOOKUP(V10,'1. Lists'!$AE:$AF,2,FALSE),"")</f>
        <v>11</v>
      </c>
      <c r="V10" s="181" t="s">
        <v>355</v>
      </c>
      <c r="W10" s="182"/>
      <c r="X10" s="183"/>
      <c r="Y10" s="78"/>
      <c r="Z10" s="132" t="s">
        <v>792</v>
      </c>
      <c r="AA10" s="132" t="s">
        <v>739</v>
      </c>
      <c r="AB10" s="80">
        <f>IF(LEN(AC10)&gt;0,VLOOKUP(AC10,'1. Lists'!$AV$3:$AX$7,3,FALSE),"")</f>
        <v>2</v>
      </c>
      <c r="AC10" s="151" t="s">
        <v>13</v>
      </c>
      <c r="AD10" s="80">
        <f>IF(LEN(AE10)&gt;0,VLOOKUP(AE10,'1. Lists'!$AZ$3:$BB$7,3,FALSE),"")</f>
        <v>2</v>
      </c>
      <c r="AE10" s="152" t="s">
        <v>9</v>
      </c>
      <c r="AF10" s="160"/>
      <c r="AG10" s="160"/>
      <c r="AH10" s="80">
        <f>IF(LEN(AI10)&gt;0,VLOOKUP(AI10,'1. Lists'!$BD$3:$BF$15,3,FALSE),"")</f>
        <v>5</v>
      </c>
      <c r="AI10" s="142" t="s">
        <v>340</v>
      </c>
      <c r="AJ10" s="143" t="s">
        <v>68</v>
      </c>
      <c r="AK10" s="144" t="s">
        <v>461</v>
      </c>
      <c r="AL10" s="125" t="s">
        <v>367</v>
      </c>
      <c r="AM10" s="185" t="s">
        <v>762</v>
      </c>
      <c r="AN10" s="160"/>
      <c r="AO10" s="154" t="s">
        <v>565</v>
      </c>
      <c r="AP10" s="184" t="s">
        <v>790</v>
      </c>
      <c r="AQ10" s="160"/>
      <c r="AR10" s="160"/>
      <c r="AS10" s="160"/>
      <c r="AT10" s="160"/>
      <c r="AU10" s="144" t="s">
        <v>460</v>
      </c>
      <c r="AV10" s="80" t="str">
        <f>IF(LEN(AW10)&gt;0,VLOOKUP(AW10,'1. Lists'!$BQ:$BR,2,FALSE),"")</f>
        <v>ACC</v>
      </c>
      <c r="AW10" s="151" t="s">
        <v>14</v>
      </c>
      <c r="AX10" s="80">
        <f>IF(LEN(AY10)&gt;0,VLOOKUP(AY10,'1. Lists'!$BU$3:$BW$5,3,FALSE),"")</f>
        <v>3</v>
      </c>
      <c r="AY10" s="152" t="s">
        <v>83</v>
      </c>
      <c r="AZ10" s="155">
        <v>4</v>
      </c>
      <c r="BA10" s="159">
        <f t="shared" si="0"/>
        <v>4</v>
      </c>
      <c r="BC10" s="158">
        <v>0</v>
      </c>
      <c r="BD10" s="158">
        <v>0</v>
      </c>
      <c r="BE10" s="158">
        <v>1</v>
      </c>
      <c r="BF10" s="158">
        <v>0</v>
      </c>
      <c r="BG10" s="158">
        <v>0</v>
      </c>
      <c r="BH10" s="158">
        <v>1</v>
      </c>
      <c r="BI10" s="158">
        <v>0</v>
      </c>
      <c r="BJ10" s="158">
        <v>0</v>
      </c>
      <c r="BK10" s="158">
        <v>1</v>
      </c>
      <c r="BL10" s="158">
        <v>0</v>
      </c>
      <c r="BM10" s="158">
        <v>0</v>
      </c>
      <c r="BN10" s="158">
        <v>1</v>
      </c>
      <c r="BP10" s="80">
        <f t="shared" si="1"/>
        <v>1</v>
      </c>
      <c r="BQ10" s="80">
        <f t="shared" si="2"/>
        <v>4</v>
      </c>
      <c r="BR10" s="80">
        <f t="shared" si="3"/>
        <v>1</v>
      </c>
      <c r="BU10" s="80">
        <f t="shared" si="4"/>
        <v>1</v>
      </c>
      <c r="BV10" s="80">
        <f t="shared" si="5"/>
        <v>1</v>
      </c>
      <c r="BW10" s="80">
        <f t="shared" si="6"/>
        <v>1</v>
      </c>
    </row>
    <row r="11" spans="1:75" s="80" customFormat="1" ht="75" x14ac:dyDescent="0.25">
      <c r="A11" s="174">
        <f t="shared" si="7"/>
        <v>8</v>
      </c>
      <c r="B11" s="80">
        <f>IF(LEN(D11)&gt;0,VLOOKUP(D11,'1. Lists'!$E$3:$J$52,6,FALSE),"")</f>
        <v>8</v>
      </c>
      <c r="C11" s="80" t="str">
        <f>IF(LEN(D11)&gt;0,VLOOKUP(D11,'1. Lists'!$E$3:$F$52,2,FALSE),"")</f>
        <v>Administration &amp; Community Services</v>
      </c>
      <c r="D11" s="120" t="s">
        <v>367</v>
      </c>
      <c r="E11" s="179"/>
      <c r="F11" s="65"/>
      <c r="G11" s="65"/>
      <c r="H11" s="80">
        <f>IF(LEN(I11)&gt;0,VLOOKUP(I11,'1. Lists'!$T:$U,2,FALSE),"")</f>
        <v>63</v>
      </c>
      <c r="I11" s="152" t="s">
        <v>441</v>
      </c>
      <c r="J11" s="160"/>
      <c r="K11" s="80">
        <f>IF(LEN(L11)&gt;0,VLOOKUP(L11,'1. Lists'!$AK:$AL,2,FALSE),"")</f>
        <v>9</v>
      </c>
      <c r="L11" s="144" t="s">
        <v>159</v>
      </c>
      <c r="M11" s="168">
        <f>IF(LEN(N11)&gt;0,VLOOKUP(N11,'1. Lists'!$AN:$AQ,4,FALSE),"")</f>
        <v>2</v>
      </c>
      <c r="N11" s="180" t="s">
        <v>382</v>
      </c>
      <c r="O11" s="80">
        <f>IF(LEN(P11)&gt;0,VLOOKUP(P11,'1. Lists'!$AA:$AC,3,FALSE),"")</f>
        <v>4</v>
      </c>
      <c r="P11" s="143" t="s">
        <v>41</v>
      </c>
      <c r="Q11" s="73">
        <f>IF(LEN(R11)&gt;0,VLOOKUP(R11,'1. Lists'!$W:$Y,3,FALSE),"")</f>
        <v>1</v>
      </c>
      <c r="R11" s="142" t="s">
        <v>169</v>
      </c>
      <c r="S11" s="73">
        <f>IF(LEN(T11)&gt;0,VLOOKUP(T11,'1. Lists'!$AH:$AI,2,FALSE),"")</f>
        <v>11</v>
      </c>
      <c r="T11" s="146" t="s">
        <v>396</v>
      </c>
      <c r="U11" s="76">
        <f>IF(LEN(V11)&gt;0,VLOOKUP(V11,'1. Lists'!$AE:$AF,2,FALSE),"")</f>
        <v>11</v>
      </c>
      <c r="V11" s="181" t="s">
        <v>355</v>
      </c>
      <c r="W11" s="182"/>
      <c r="X11" s="183"/>
      <c r="Y11" s="78"/>
      <c r="Z11" s="132" t="s">
        <v>793</v>
      </c>
      <c r="AA11" s="132" t="s">
        <v>794</v>
      </c>
      <c r="AB11" s="80">
        <f>IF(LEN(AC11)&gt;0,VLOOKUP(AC11,'1. Lists'!$AV$3:$AX$7,3,FALSE),"")</f>
        <v>2</v>
      </c>
      <c r="AC11" s="151" t="s">
        <v>13</v>
      </c>
      <c r="AD11" s="80">
        <f>IF(LEN(AE11)&gt;0,VLOOKUP(AE11,'1. Lists'!$AZ$3:$BB$7,3,FALSE),"")</f>
        <v>2</v>
      </c>
      <c r="AE11" s="152" t="s">
        <v>9</v>
      </c>
      <c r="AF11" s="160"/>
      <c r="AG11" s="160"/>
      <c r="AH11" s="80">
        <f>IF(LEN(AI11)&gt;0,VLOOKUP(AI11,'1. Lists'!$BD$3:$BF$15,3,FALSE),"")</f>
        <v>5</v>
      </c>
      <c r="AI11" s="142" t="s">
        <v>340</v>
      </c>
      <c r="AJ11" s="143" t="s">
        <v>68</v>
      </c>
      <c r="AK11" s="144" t="s">
        <v>461</v>
      </c>
      <c r="AL11" s="125" t="s">
        <v>367</v>
      </c>
      <c r="AM11" s="185" t="s">
        <v>762</v>
      </c>
      <c r="AN11" s="160"/>
      <c r="AO11" s="154" t="s">
        <v>795</v>
      </c>
      <c r="AP11" s="184" t="s">
        <v>790</v>
      </c>
      <c r="AQ11" s="160"/>
      <c r="AR11" s="160"/>
      <c r="AS11" s="160"/>
      <c r="AT11" s="160"/>
      <c r="AU11" s="144" t="s">
        <v>460</v>
      </c>
      <c r="AV11" s="80" t="str">
        <f>IF(LEN(AW11)&gt;0,VLOOKUP(AW11,'1. Lists'!$BQ:$BR,2,FALSE),"")</f>
        <v>ACC</v>
      </c>
      <c r="AW11" s="151" t="s">
        <v>14</v>
      </c>
      <c r="AX11" s="80">
        <f>IF(LEN(AY11)&gt;0,VLOOKUP(AY11,'1. Lists'!$BU$3:$BW$5,3,FALSE),"")</f>
        <v>3</v>
      </c>
      <c r="AY11" s="152" t="s">
        <v>83</v>
      </c>
      <c r="AZ11" s="155">
        <v>12</v>
      </c>
      <c r="BA11" s="159">
        <f t="shared" si="0"/>
        <v>12</v>
      </c>
      <c r="BC11" s="158">
        <v>1</v>
      </c>
      <c r="BD11" s="158">
        <v>1</v>
      </c>
      <c r="BE11" s="158">
        <v>1</v>
      </c>
      <c r="BF11" s="158">
        <v>1</v>
      </c>
      <c r="BG11" s="158">
        <v>1</v>
      </c>
      <c r="BH11" s="158">
        <v>1</v>
      </c>
      <c r="BI11" s="158">
        <v>1</v>
      </c>
      <c r="BJ11" s="158">
        <v>1</v>
      </c>
      <c r="BK11" s="158">
        <v>1</v>
      </c>
      <c r="BL11" s="158">
        <v>1</v>
      </c>
      <c r="BM11" s="158">
        <v>1</v>
      </c>
      <c r="BN11" s="158">
        <v>1</v>
      </c>
      <c r="BP11" s="80">
        <f t="shared" si="1"/>
        <v>1</v>
      </c>
      <c r="BQ11" s="80">
        <f t="shared" si="2"/>
        <v>12</v>
      </c>
      <c r="BR11" s="80">
        <f t="shared" si="3"/>
        <v>1</v>
      </c>
      <c r="BU11" s="80">
        <f t="shared" si="4"/>
        <v>1</v>
      </c>
      <c r="BV11" s="80">
        <f t="shared" si="5"/>
        <v>1</v>
      </c>
      <c r="BW11" s="80">
        <f t="shared" si="6"/>
        <v>1</v>
      </c>
    </row>
    <row r="12" spans="1:75" s="80" customFormat="1" ht="75" x14ac:dyDescent="0.25">
      <c r="A12" s="174">
        <f t="shared" si="7"/>
        <v>9</v>
      </c>
      <c r="B12" s="80">
        <f>IF(LEN(D12)&gt;0,VLOOKUP(D12,'1. Lists'!$E$3:$J$52,6,FALSE),"")</f>
        <v>8</v>
      </c>
      <c r="C12" s="80" t="str">
        <f>IF(LEN(D12)&gt;0,VLOOKUP(D12,'1. Lists'!$E$3:$F$52,2,FALSE),"")</f>
        <v>Administration &amp; Community Services</v>
      </c>
      <c r="D12" s="120" t="s">
        <v>367</v>
      </c>
      <c r="E12" s="179"/>
      <c r="F12" s="65"/>
      <c r="G12" s="65"/>
      <c r="H12" s="80">
        <f>IF(LEN(I12)&gt;0,VLOOKUP(I12,'1. Lists'!$T:$U,2,FALSE),"")</f>
        <v>63</v>
      </c>
      <c r="I12" s="152" t="s">
        <v>441</v>
      </c>
      <c r="J12" s="160"/>
      <c r="K12" s="80">
        <f>IF(LEN(L12)&gt;0,VLOOKUP(L12,'1. Lists'!$AK:$AL,2,FALSE),"")</f>
        <v>9</v>
      </c>
      <c r="L12" s="144" t="s">
        <v>159</v>
      </c>
      <c r="M12" s="168">
        <f>IF(LEN(N12)&gt;0,VLOOKUP(N12,'1. Lists'!$AN:$AQ,4,FALSE),"")</f>
        <v>2</v>
      </c>
      <c r="N12" s="180" t="s">
        <v>382</v>
      </c>
      <c r="O12" s="80">
        <f>IF(LEN(P12)&gt;0,VLOOKUP(P12,'1. Lists'!$AA:$AC,3,FALSE),"")</f>
        <v>4</v>
      </c>
      <c r="P12" s="143" t="s">
        <v>41</v>
      </c>
      <c r="Q12" s="73">
        <f>IF(LEN(R12)&gt;0,VLOOKUP(R12,'1. Lists'!$W:$Y,3,FALSE),"")</f>
        <v>1</v>
      </c>
      <c r="R12" s="142" t="s">
        <v>169</v>
      </c>
      <c r="S12" s="73">
        <f>IF(LEN(T12)&gt;0,VLOOKUP(T12,'1. Lists'!$AH:$AI,2,FALSE),"")</f>
        <v>11</v>
      </c>
      <c r="T12" s="146" t="s">
        <v>396</v>
      </c>
      <c r="U12" s="76">
        <f>IF(LEN(V12)&gt;0,VLOOKUP(V12,'1. Lists'!$AE:$AF,2,FALSE),"")</f>
        <v>11</v>
      </c>
      <c r="V12" s="181" t="s">
        <v>355</v>
      </c>
      <c r="W12" s="182"/>
      <c r="X12" s="183"/>
      <c r="Y12" s="78"/>
      <c r="Z12" s="132" t="s">
        <v>796</v>
      </c>
      <c r="AA12" s="132" t="s">
        <v>797</v>
      </c>
      <c r="AB12" s="80">
        <f>IF(LEN(AC12)&gt;0,VLOOKUP(AC12,'1. Lists'!$AV$3:$AX$7,3,FALSE),"")</f>
        <v>3</v>
      </c>
      <c r="AC12" s="151" t="s">
        <v>4</v>
      </c>
      <c r="AD12" s="80">
        <f>IF(LEN(AE12)&gt;0,VLOOKUP(AE12,'1. Lists'!$AZ$3:$BB$7,3,FALSE),"")</f>
        <v>2</v>
      </c>
      <c r="AE12" s="152" t="s">
        <v>9</v>
      </c>
      <c r="AF12" s="160"/>
      <c r="AG12" s="160"/>
      <c r="AH12" s="80">
        <f>IF(LEN(AI12)&gt;0,VLOOKUP(AI12,'1. Lists'!$BD$3:$BF$15,3,FALSE),"")</f>
        <v>5</v>
      </c>
      <c r="AI12" s="142" t="s">
        <v>340</v>
      </c>
      <c r="AJ12" s="143" t="s">
        <v>68</v>
      </c>
      <c r="AK12" s="144" t="s">
        <v>461</v>
      </c>
      <c r="AL12" s="125" t="s">
        <v>367</v>
      </c>
      <c r="AM12" s="185" t="s">
        <v>762</v>
      </c>
      <c r="AN12" s="160"/>
      <c r="AO12" s="185">
        <v>0.85</v>
      </c>
      <c r="AP12" s="184" t="s">
        <v>798</v>
      </c>
      <c r="AQ12" s="160"/>
      <c r="AR12" s="160"/>
      <c r="AS12" s="160"/>
      <c r="AT12" s="160"/>
      <c r="AU12" s="144" t="s">
        <v>460</v>
      </c>
      <c r="AV12" s="80" t="str">
        <f>IF(LEN(AW12)&gt;0,VLOOKUP(AW12,'1. Lists'!$BQ:$BR,2,FALSE),"")</f>
        <v>LAST</v>
      </c>
      <c r="AW12" s="151" t="s">
        <v>190</v>
      </c>
      <c r="AX12" s="80">
        <f>IF(LEN(AY12)&gt;0,VLOOKUP(AY12,'1. Lists'!$BU$3:$BW$5,3,FALSE),"")</f>
        <v>2</v>
      </c>
      <c r="AY12" s="152" t="s">
        <v>82</v>
      </c>
      <c r="AZ12" s="155">
        <v>85</v>
      </c>
      <c r="BA12" s="159">
        <f t="shared" si="0"/>
        <v>85</v>
      </c>
      <c r="BC12" s="158">
        <v>0</v>
      </c>
      <c r="BD12" s="158">
        <v>0</v>
      </c>
      <c r="BE12" s="158">
        <v>0</v>
      </c>
      <c r="BF12" s="158">
        <v>0</v>
      </c>
      <c r="BG12" s="158">
        <v>0</v>
      </c>
      <c r="BH12" s="158">
        <v>0</v>
      </c>
      <c r="BI12" s="158">
        <v>0</v>
      </c>
      <c r="BJ12" s="158">
        <v>0</v>
      </c>
      <c r="BK12" s="158">
        <v>0</v>
      </c>
      <c r="BL12" s="158">
        <v>0</v>
      </c>
      <c r="BM12" s="158">
        <v>0</v>
      </c>
      <c r="BN12" s="158">
        <v>85</v>
      </c>
      <c r="BP12" s="80">
        <f t="shared" si="1"/>
        <v>85</v>
      </c>
      <c r="BQ12" s="80">
        <f t="shared" si="2"/>
        <v>85</v>
      </c>
      <c r="BR12" s="80">
        <f t="shared" si="3"/>
        <v>85</v>
      </c>
      <c r="BU12" s="80">
        <f t="shared" si="4"/>
        <v>85</v>
      </c>
      <c r="BV12" s="80">
        <f t="shared" si="5"/>
        <v>85</v>
      </c>
      <c r="BW12" s="80">
        <f t="shared" si="6"/>
        <v>85</v>
      </c>
    </row>
    <row r="13" spans="1:75" s="80" customFormat="1" ht="75" x14ac:dyDescent="0.25">
      <c r="A13" s="174">
        <f t="shared" si="7"/>
        <v>10</v>
      </c>
      <c r="B13" s="80">
        <f>IF(LEN(D13)&gt;0,VLOOKUP(D13,'1. Lists'!$E$3:$J$52,6,FALSE),"")</f>
        <v>8</v>
      </c>
      <c r="C13" s="80" t="str">
        <f>IF(LEN(D13)&gt;0,VLOOKUP(D13,'1. Lists'!$E$3:$F$52,2,FALSE),"")</f>
        <v>Administration &amp; Community Services</v>
      </c>
      <c r="D13" s="120" t="s">
        <v>367</v>
      </c>
      <c r="E13" s="179"/>
      <c r="F13" s="65"/>
      <c r="G13" s="65"/>
      <c r="H13" s="80">
        <f>IF(LEN(I13)&gt;0,VLOOKUP(I13,'1. Lists'!$T:$U,2,FALSE),"")</f>
        <v>63</v>
      </c>
      <c r="I13" s="152" t="s">
        <v>441</v>
      </c>
      <c r="J13" s="160"/>
      <c r="K13" s="80">
        <f>IF(LEN(L13)&gt;0,VLOOKUP(L13,'1. Lists'!$AK:$AL,2,FALSE),"")</f>
        <v>9</v>
      </c>
      <c r="L13" s="144" t="s">
        <v>159</v>
      </c>
      <c r="M13" s="168">
        <f>IF(LEN(N13)&gt;0,VLOOKUP(N13,'1. Lists'!$AN:$AQ,4,FALSE),"")</f>
        <v>2</v>
      </c>
      <c r="N13" s="180" t="s">
        <v>382</v>
      </c>
      <c r="O13" s="80">
        <f>IF(LEN(P13)&gt;0,VLOOKUP(P13,'1. Lists'!$AA:$AC,3,FALSE),"")</f>
        <v>4</v>
      </c>
      <c r="P13" s="143" t="s">
        <v>41</v>
      </c>
      <c r="Q13" s="73">
        <f>IF(LEN(R13)&gt;0,VLOOKUP(R13,'1. Lists'!$W:$Y,3,FALSE),"")</f>
        <v>1</v>
      </c>
      <c r="R13" s="142" t="s">
        <v>169</v>
      </c>
      <c r="S13" s="73">
        <f>IF(LEN(T13)&gt;0,VLOOKUP(T13,'1. Lists'!$AH:$AI,2,FALSE),"")</f>
        <v>11</v>
      </c>
      <c r="T13" s="146" t="s">
        <v>396</v>
      </c>
      <c r="U13" s="76">
        <f>IF(LEN(V13)&gt;0,VLOOKUP(V13,'1. Lists'!$AE:$AF,2,FALSE),"")</f>
        <v>11</v>
      </c>
      <c r="V13" s="181" t="s">
        <v>355</v>
      </c>
      <c r="W13" s="182"/>
      <c r="X13" s="183"/>
      <c r="Y13" s="78"/>
      <c r="Z13" s="132" t="s">
        <v>824</v>
      </c>
      <c r="AA13" s="132" t="s">
        <v>825</v>
      </c>
      <c r="AB13" s="80">
        <f>IF(LEN(AC13)&gt;0,VLOOKUP(AC13,'1. Lists'!$AV$3:$AX$7,3,FALSE),"")</f>
        <v>3</v>
      </c>
      <c r="AC13" s="151" t="s">
        <v>4</v>
      </c>
      <c r="AD13" s="80">
        <f>IF(LEN(AE13)&gt;0,VLOOKUP(AE13,'1. Lists'!$AZ$3:$BB$7,3,FALSE),"")</f>
        <v>2</v>
      </c>
      <c r="AE13" s="152" t="s">
        <v>9</v>
      </c>
      <c r="AF13" s="160"/>
      <c r="AG13" s="160"/>
      <c r="AH13" s="80">
        <f>IF(LEN(AI13)&gt;0,VLOOKUP(AI13,'1. Lists'!$BD$3:$BF$15,3,FALSE),"")</f>
        <v>5</v>
      </c>
      <c r="AI13" s="142" t="s">
        <v>340</v>
      </c>
      <c r="AJ13" s="143" t="s">
        <v>68</v>
      </c>
      <c r="AK13" s="144" t="s">
        <v>461</v>
      </c>
      <c r="AL13" s="125" t="s">
        <v>367</v>
      </c>
      <c r="AM13" s="185" t="s">
        <v>762</v>
      </c>
      <c r="AN13" s="160"/>
      <c r="AO13" s="185">
        <v>0.95</v>
      </c>
      <c r="AP13" s="184" t="s">
        <v>798</v>
      </c>
      <c r="AQ13" s="160"/>
      <c r="AR13" s="160"/>
      <c r="AS13" s="160"/>
      <c r="AT13" s="160"/>
      <c r="AU13" s="144" t="s">
        <v>460</v>
      </c>
      <c r="AV13" s="80" t="str">
        <f>IF(LEN(AW13)&gt;0,VLOOKUP(AW13,'1. Lists'!$BQ:$BR,2,FALSE),"")</f>
        <v>LAST</v>
      </c>
      <c r="AW13" s="151" t="s">
        <v>190</v>
      </c>
      <c r="AX13" s="80">
        <f>IF(LEN(AY13)&gt;0,VLOOKUP(AY13,'1. Lists'!$BU$3:$BW$5,3,FALSE),"")</f>
        <v>2</v>
      </c>
      <c r="AY13" s="152" t="s">
        <v>82</v>
      </c>
      <c r="AZ13" s="155">
        <v>95</v>
      </c>
      <c r="BA13" s="159">
        <f t="shared" si="0"/>
        <v>95</v>
      </c>
      <c r="BC13" s="158">
        <v>0</v>
      </c>
      <c r="BD13" s="158">
        <v>0</v>
      </c>
      <c r="BE13" s="158">
        <v>0</v>
      </c>
      <c r="BF13" s="158">
        <v>0</v>
      </c>
      <c r="BG13" s="158">
        <v>0</v>
      </c>
      <c r="BH13" s="158">
        <v>0</v>
      </c>
      <c r="BI13" s="158">
        <v>0</v>
      </c>
      <c r="BJ13" s="158">
        <v>0</v>
      </c>
      <c r="BK13" s="158">
        <v>0</v>
      </c>
      <c r="BL13" s="158">
        <v>0</v>
      </c>
      <c r="BM13" s="158">
        <v>0</v>
      </c>
      <c r="BN13" s="158">
        <v>95</v>
      </c>
      <c r="BP13" s="80">
        <f t="shared" si="1"/>
        <v>95</v>
      </c>
      <c r="BQ13" s="80">
        <f t="shared" si="2"/>
        <v>95</v>
      </c>
      <c r="BR13" s="80">
        <f t="shared" si="3"/>
        <v>95</v>
      </c>
      <c r="BU13" s="80">
        <f t="shared" si="4"/>
        <v>95</v>
      </c>
      <c r="BV13" s="80">
        <f t="shared" si="5"/>
        <v>95</v>
      </c>
      <c r="BW13" s="80">
        <f t="shared" si="6"/>
        <v>95</v>
      </c>
    </row>
    <row r="14" spans="1:75" s="80" customFormat="1" ht="75" x14ac:dyDescent="0.25">
      <c r="A14" s="174">
        <f t="shared" si="7"/>
        <v>11</v>
      </c>
      <c r="B14" s="80">
        <f>IF(LEN(D14)&gt;0,VLOOKUP(D14,'1. Lists'!$E$3:$J$52,6,FALSE),"")</f>
        <v>8</v>
      </c>
      <c r="C14" s="80" t="str">
        <f>IF(LEN(D14)&gt;0,VLOOKUP(D14,'1. Lists'!$E$3:$F$52,2,FALSE),"")</f>
        <v>Administration &amp; Community Services</v>
      </c>
      <c r="D14" s="120" t="s">
        <v>367</v>
      </c>
      <c r="E14" s="179"/>
      <c r="F14" s="65"/>
      <c r="G14" s="65"/>
      <c r="H14" s="80">
        <f>IF(LEN(I14)&gt;0,VLOOKUP(I14,'1. Lists'!$T:$U,2,FALSE),"")</f>
        <v>63</v>
      </c>
      <c r="I14" s="152" t="s">
        <v>441</v>
      </c>
      <c r="J14" s="160"/>
      <c r="K14" s="80">
        <f>IF(LEN(L14)&gt;0,VLOOKUP(L14,'1. Lists'!$AK:$AL,2,FALSE),"")</f>
        <v>9</v>
      </c>
      <c r="L14" s="144" t="s">
        <v>159</v>
      </c>
      <c r="M14" s="168">
        <f>IF(LEN(N14)&gt;0,VLOOKUP(N14,'1. Lists'!$AN:$AQ,4,FALSE),"")</f>
        <v>2</v>
      </c>
      <c r="N14" s="180" t="s">
        <v>382</v>
      </c>
      <c r="O14" s="80">
        <f>IF(LEN(P14)&gt;0,VLOOKUP(P14,'1. Lists'!$AA:$AC,3,FALSE),"")</f>
        <v>4</v>
      </c>
      <c r="P14" s="143" t="s">
        <v>41</v>
      </c>
      <c r="Q14" s="73">
        <f>IF(LEN(R14)&gt;0,VLOOKUP(R14,'1. Lists'!$W:$Y,3,FALSE),"")</f>
        <v>1</v>
      </c>
      <c r="R14" s="142" t="s">
        <v>169</v>
      </c>
      <c r="S14" s="73">
        <f>IF(LEN(T14)&gt;0,VLOOKUP(T14,'1. Lists'!$AH:$AI,2,FALSE),"")</f>
        <v>11</v>
      </c>
      <c r="T14" s="146" t="s">
        <v>396</v>
      </c>
      <c r="U14" s="76">
        <f>IF(LEN(V14)&gt;0,VLOOKUP(V14,'1. Lists'!$AE:$AF,2,FALSE),"")</f>
        <v>11</v>
      </c>
      <c r="V14" s="181" t="s">
        <v>355</v>
      </c>
      <c r="W14" s="182"/>
      <c r="X14" s="183"/>
      <c r="Y14" s="78"/>
      <c r="Z14" s="150" t="s">
        <v>826</v>
      </c>
      <c r="AA14" s="150" t="s">
        <v>564</v>
      </c>
      <c r="AB14" s="80">
        <f>IF(LEN(AC14)&gt;0,VLOOKUP(AC14,'1. Lists'!$AV$3:$AX$7,3,FALSE),"")</f>
        <v>3</v>
      </c>
      <c r="AC14" s="151" t="s">
        <v>4</v>
      </c>
      <c r="AD14" s="80">
        <f>IF(LEN(AE14)&gt;0,VLOOKUP(AE14,'1. Lists'!$AZ$3:$BB$7,3,FALSE),"")</f>
        <v>2</v>
      </c>
      <c r="AE14" s="152" t="s">
        <v>9</v>
      </c>
      <c r="AF14" s="160"/>
      <c r="AG14" s="160"/>
      <c r="AH14" s="80">
        <f>IF(LEN(AI14)&gt;0,VLOOKUP(AI14,'1. Lists'!$BD$3:$BF$15,3,FALSE),"")</f>
        <v>5</v>
      </c>
      <c r="AI14" s="142" t="s">
        <v>340</v>
      </c>
      <c r="AJ14" s="143" t="s">
        <v>68</v>
      </c>
      <c r="AK14" s="144" t="s">
        <v>461</v>
      </c>
      <c r="AL14" s="125" t="s">
        <v>367</v>
      </c>
      <c r="AM14" s="185" t="s">
        <v>762</v>
      </c>
      <c r="AN14" s="160"/>
      <c r="AO14" s="185">
        <v>0.05</v>
      </c>
      <c r="AP14" s="184" t="s">
        <v>798</v>
      </c>
      <c r="AQ14" s="160"/>
      <c r="AR14" s="160"/>
      <c r="AS14" s="160"/>
      <c r="AT14" s="160"/>
      <c r="AU14" s="144" t="s">
        <v>460</v>
      </c>
      <c r="AV14" s="80" t="str">
        <f>IF(LEN(AW14)&gt;0,VLOOKUP(AW14,'1. Lists'!$BQ:$BR,2,FALSE),"")</f>
        <v>LASTREV</v>
      </c>
      <c r="AW14" s="151" t="s">
        <v>192</v>
      </c>
      <c r="AX14" s="80">
        <f>IF(LEN(AY14)&gt;0,VLOOKUP(AY14,'1. Lists'!$BU$3:$BW$5,3,FALSE),"")</f>
        <v>2</v>
      </c>
      <c r="AY14" s="152" t="s">
        <v>82</v>
      </c>
      <c r="AZ14" s="155">
        <v>5</v>
      </c>
      <c r="BA14" s="159">
        <f t="shared" si="0"/>
        <v>5</v>
      </c>
      <c r="BC14" s="158">
        <v>0</v>
      </c>
      <c r="BD14" s="158">
        <v>0</v>
      </c>
      <c r="BE14" s="158">
        <v>0</v>
      </c>
      <c r="BF14" s="158">
        <v>0</v>
      </c>
      <c r="BG14" s="158">
        <v>0</v>
      </c>
      <c r="BH14" s="158">
        <v>0</v>
      </c>
      <c r="BI14" s="158">
        <v>0</v>
      </c>
      <c r="BJ14" s="158">
        <v>0</v>
      </c>
      <c r="BK14" s="158">
        <v>0</v>
      </c>
      <c r="BL14" s="158">
        <v>0</v>
      </c>
      <c r="BM14" s="158">
        <v>0</v>
      </c>
      <c r="BN14" s="158">
        <v>5</v>
      </c>
      <c r="BP14" s="80">
        <f t="shared" si="1"/>
        <v>5</v>
      </c>
      <c r="BQ14" s="80">
        <f t="shared" si="2"/>
        <v>5</v>
      </c>
      <c r="BR14" s="80">
        <f t="shared" si="3"/>
        <v>5</v>
      </c>
      <c r="BU14" s="80">
        <f t="shared" si="4"/>
        <v>5</v>
      </c>
      <c r="BV14" s="80">
        <f t="shared" si="5"/>
        <v>5</v>
      </c>
      <c r="BW14" s="80">
        <f t="shared" si="6"/>
        <v>5</v>
      </c>
    </row>
    <row r="15" spans="1:75" ht="60" x14ac:dyDescent="0.25">
      <c r="A15" s="174">
        <f t="shared" si="7"/>
        <v>12</v>
      </c>
      <c r="B15" s="66">
        <f>IF(LEN(D15)&gt;0,VLOOKUP(D15,'1. Lists'!$E$3:$J$52,6,FALSE),"")</f>
        <v>14</v>
      </c>
      <c r="C15" s="66" t="str">
        <f>IF(LEN(D15)&gt;0,VLOOKUP(D15,'1. Lists'!$E$3:$F$52,2,FALSE),"")</f>
        <v>Administration &amp; Community Services</v>
      </c>
      <c r="D15" s="120" t="s">
        <v>373</v>
      </c>
      <c r="E15" s="121"/>
      <c r="F15" s="65" t="str">
        <f>IF(E15&gt;0,VLOOKUP(E15,'2. Top Layer'!$A:$C,3,FALSE),"")</f>
        <v/>
      </c>
      <c r="G15" s="65" t="str">
        <f>IF(E15&gt;0,VLOOKUP(E15,'2. Top Layer'!$A:$T,17,FALSE),"")</f>
        <v/>
      </c>
      <c r="H15" s="66">
        <f>IF(LEN(I15)&gt;0,VLOOKUP(I15,'1. Lists'!$T:$U,2,FALSE),"")</f>
        <v>64</v>
      </c>
      <c r="I15" s="122" t="s">
        <v>435</v>
      </c>
      <c r="J15" s="123"/>
      <c r="K15" s="66">
        <f>IF(LEN(L15)&gt;0,VLOOKUP(L15,'1. Lists'!$AK:$AL,2,FALSE),"")</f>
        <v>12</v>
      </c>
      <c r="L15" s="124" t="s">
        <v>162</v>
      </c>
      <c r="M15" s="70">
        <f>IF(LEN(N15)&gt;0,VLOOKUP(N15,'1. Lists'!$AN:$AQ,4,FALSE),"")</f>
        <v>2</v>
      </c>
      <c r="N15" s="125" t="s">
        <v>382</v>
      </c>
      <c r="O15" s="66">
        <f>IF(LEN(P15)&gt;0,VLOOKUP(P15,'1. Lists'!$AA:$AC,3,FALSE),"")</f>
        <v>5</v>
      </c>
      <c r="P15" s="126" t="s">
        <v>42</v>
      </c>
      <c r="Q15" s="73">
        <f>IF(LEN(R15)&gt;0,VLOOKUP(R15,'1. Lists'!$W:$Y,3,FALSE),"")</f>
        <v>1</v>
      </c>
      <c r="R15" s="127" t="s">
        <v>169</v>
      </c>
      <c r="S15" s="73">
        <f>IF(LEN(T15)&gt;0,VLOOKUP(T15,'1. Lists'!$AH:$AI,2,FALSE),"")</f>
        <v>11</v>
      </c>
      <c r="T15" s="128" t="s">
        <v>396</v>
      </c>
      <c r="U15" s="76">
        <f>IF(LEN(V15)&gt;0,VLOOKUP(V15,'1. Lists'!$AE:$AF,2,FALSE),"")</f>
        <v>11</v>
      </c>
      <c r="V15" s="129" t="s">
        <v>355</v>
      </c>
      <c r="W15" s="130"/>
      <c r="X15" s="131" t="str">
        <f>IF(W15&gt;0,VLOOKUP($W15,'3. Capital'!$A:$J,4,FALSE),"")</f>
        <v/>
      </c>
      <c r="Y15" s="78" t="str">
        <f>IF(W15&gt;0,VLOOKUP($W15,'3. Capital'!$A:$J,10,FALSE),"")</f>
        <v/>
      </c>
      <c r="Z15" s="132" t="s">
        <v>483</v>
      </c>
      <c r="AA15" s="132" t="s">
        <v>484</v>
      </c>
      <c r="AB15" s="66">
        <f>IF(LEN(AC15)&gt;0,VLOOKUP(AC15,'1. Lists'!$AV$3:$AX$7,3,FALSE),"")</f>
        <v>2</v>
      </c>
      <c r="AC15" s="133" t="s">
        <v>13</v>
      </c>
      <c r="AD15" s="66">
        <f>IF(LEN(AE15)&gt;0,VLOOKUP(AE15,'1. Lists'!$AZ$3:$BB$7,3,FALSE),"")</f>
        <v>2</v>
      </c>
      <c r="AE15" s="122" t="s">
        <v>9</v>
      </c>
      <c r="AF15" s="123"/>
      <c r="AG15" s="123"/>
      <c r="AH15" s="66">
        <f>IF(LEN(AI15)&gt;0,VLOOKUP(AI15,'1. Lists'!$BD$3:$BF$15,3,FALSE),"")</f>
        <v>4</v>
      </c>
      <c r="AI15" s="127" t="s">
        <v>339</v>
      </c>
      <c r="AJ15" s="134" t="s">
        <v>68</v>
      </c>
      <c r="AK15" s="135" t="s">
        <v>461</v>
      </c>
      <c r="AL15" s="125" t="s">
        <v>415</v>
      </c>
      <c r="AM15" s="136">
        <v>2</v>
      </c>
      <c r="AN15" s="123"/>
      <c r="AO15" s="137" t="s">
        <v>588</v>
      </c>
      <c r="AP15" s="137" t="s">
        <v>589</v>
      </c>
      <c r="AQ15" s="123"/>
      <c r="AR15" s="123"/>
      <c r="AS15" s="123"/>
      <c r="AT15" s="123"/>
      <c r="AU15" s="135" t="s">
        <v>460</v>
      </c>
      <c r="AV15" s="80" t="str">
        <f>IF(LEN(AW15)&gt;0,VLOOKUP(AW15,'1. Lists'!$BQ:$BR,2,FALSE),"")</f>
        <v>ACC</v>
      </c>
      <c r="AW15" s="133" t="s">
        <v>14</v>
      </c>
      <c r="AX15" s="80">
        <f>IF(LEN(AY15)&gt;0,VLOOKUP(AY15,'1. Lists'!$BU$3:$BW$5,3,FALSE),"")</f>
        <v>3</v>
      </c>
      <c r="AY15" s="138" t="s">
        <v>83</v>
      </c>
      <c r="AZ15" s="139">
        <v>2</v>
      </c>
      <c r="BA15" s="82">
        <f t="shared" ref="BA15:BA48" si="8">IF(LEN(AZ15)&gt;0,AZ15,"")</f>
        <v>2</v>
      </c>
      <c r="BC15" s="141">
        <v>0</v>
      </c>
      <c r="BD15" s="141">
        <v>0</v>
      </c>
      <c r="BE15" s="141">
        <v>0</v>
      </c>
      <c r="BF15" s="141">
        <v>0</v>
      </c>
      <c r="BG15" s="141">
        <v>0</v>
      </c>
      <c r="BH15" s="141">
        <v>1</v>
      </c>
      <c r="BI15" s="141">
        <v>0</v>
      </c>
      <c r="BJ15" s="141">
        <v>0</v>
      </c>
      <c r="BK15" s="141">
        <v>0</v>
      </c>
      <c r="BL15" s="141">
        <v>0</v>
      </c>
      <c r="BM15" s="141">
        <v>0</v>
      </c>
      <c r="BN15" s="141">
        <v>1</v>
      </c>
      <c r="BP15" s="66">
        <f t="shared" ref="BP15:BP48" si="9">MAX(BC15:BN15)</f>
        <v>1</v>
      </c>
      <c r="BQ15" s="66">
        <f t="shared" ref="BQ15:BQ48" si="10">SUM(BC15:BN15)</f>
        <v>2</v>
      </c>
      <c r="BR15" s="66">
        <f t="shared" ref="BR15:BR48" si="11">IF(SUM(BC15:BN15)&gt;0,SUM(BC15:BN15)/COUNTIF(BC15:BN15,"&gt;0"),0)</f>
        <v>1</v>
      </c>
      <c r="BS15" s="66">
        <v>0</v>
      </c>
      <c r="BU15" s="66">
        <f t="shared" ref="BU15:BU48" si="12">IF(SUM(BC15:BN15)&gt;0,SUM(BC15:BN15)/COUNTIF(BC15:BN15,"&gt;0"),0)</f>
        <v>1</v>
      </c>
      <c r="BV15" s="66">
        <f t="shared" ref="BV15:BV48" si="13">IF(BN15&gt;0,BN15,IF(BM15&gt;0,BM15,IF(BL15&gt;0,BL15,IF(BK15&gt;0,BK15,IF(BJ15&gt;0,BJ15,IF(BI15&gt;0,BI15,IF(BH15&gt;0,BH15,IF(BG15&gt;0,BG15,IF(BF15&gt;0,BF15,IF(BE15&gt;0,BE15,IF(BD15&gt;0,BD15,BC15)))))))))))</f>
        <v>1</v>
      </c>
      <c r="BW15" s="66">
        <f t="shared" ref="BW15:BW48" si="14">IF(BN15&gt;0,BN15,IF(BM15&gt;0,BM15,IF(BL15&gt;0,BL15,IF(BK15&gt;0,BK15,IF(BJ15&gt;0,BJ15,IF(BI15&gt;0,BI15,IF(BH15&gt;0,BH15,IF(BG15&gt;0,BG15,IF(BF15&gt;0,BF15,IF(BE15&gt;0,BE15,IF(BD15&gt;0,BD15,BC15)))))))))))</f>
        <v>1</v>
      </c>
    </row>
    <row r="16" spans="1:75" ht="60" x14ac:dyDescent="0.25">
      <c r="A16" s="174">
        <f t="shared" si="7"/>
        <v>13</v>
      </c>
      <c r="B16" s="66">
        <f>IF(LEN(D16)&gt;0,VLOOKUP(D16,'1. Lists'!$E$3:$J$52,6,FALSE),"")</f>
        <v>14</v>
      </c>
      <c r="C16" s="66" t="str">
        <f>IF(LEN(D16)&gt;0,VLOOKUP(D16,'1. Lists'!$E$3:$F$52,2,FALSE),"")</f>
        <v>Administration &amp; Community Services</v>
      </c>
      <c r="D16" s="120" t="s">
        <v>373</v>
      </c>
      <c r="E16" s="121"/>
      <c r="F16" s="65" t="str">
        <f>IF(E16&gt;0,VLOOKUP(E16,'2. Top Layer'!$A:$C,3,FALSE),"")</f>
        <v/>
      </c>
      <c r="G16" s="65" t="str">
        <f>IF(E16&gt;0,VLOOKUP(E16,'2. Top Layer'!$A:$T,17,FALSE),"")</f>
        <v/>
      </c>
      <c r="H16" s="66">
        <f>IF(LEN(I16)&gt;0,VLOOKUP(I16,'1. Lists'!$T:$U,2,FALSE),"")</f>
        <v>64</v>
      </c>
      <c r="I16" s="122" t="s">
        <v>435</v>
      </c>
      <c r="J16" s="123"/>
      <c r="K16" s="66">
        <f>IF(LEN(L16)&gt;0,VLOOKUP(L16,'1. Lists'!$AK:$AL,2,FALSE),"")</f>
        <v>9</v>
      </c>
      <c r="L16" s="124" t="s">
        <v>159</v>
      </c>
      <c r="M16" s="70">
        <f>IF(LEN(N16)&gt;0,VLOOKUP(N16,'1. Lists'!$AN:$AQ,4,FALSE),"")</f>
        <v>2</v>
      </c>
      <c r="N16" s="125" t="s">
        <v>382</v>
      </c>
      <c r="O16" s="66">
        <f>IF(LEN(P16)&gt;0,VLOOKUP(P16,'1. Lists'!$AA:$AC,3,FALSE),"")</f>
        <v>5</v>
      </c>
      <c r="P16" s="126" t="s">
        <v>42</v>
      </c>
      <c r="Q16" s="73">
        <f>IF(LEN(R16)&gt;0,VLOOKUP(R16,'1. Lists'!$W:$Y,3,FALSE),"")</f>
        <v>1</v>
      </c>
      <c r="R16" s="127" t="s">
        <v>169</v>
      </c>
      <c r="S16" s="73">
        <f>IF(LEN(T16)&gt;0,VLOOKUP(T16,'1. Lists'!$AH:$AI,2,FALSE),"")</f>
        <v>11</v>
      </c>
      <c r="T16" s="128" t="s">
        <v>396</v>
      </c>
      <c r="U16" s="76">
        <f>IF(LEN(V16)&gt;0,VLOOKUP(V16,'1. Lists'!$AE:$AF,2,FALSE),"")</f>
        <v>11</v>
      </c>
      <c r="V16" s="129" t="s">
        <v>355</v>
      </c>
      <c r="W16" s="130"/>
      <c r="X16" s="131" t="str">
        <f>IF(W16&gt;0,VLOOKUP($W16,'3. Capital'!$A:$J,4,FALSE),"")</f>
        <v/>
      </c>
      <c r="Y16" s="78" t="str">
        <f>IF(W16&gt;0,VLOOKUP($W16,'3. Capital'!$A:$J,10,FALSE),"")</f>
        <v/>
      </c>
      <c r="Z16" s="132" t="s">
        <v>485</v>
      </c>
      <c r="AA16" s="132" t="s">
        <v>486</v>
      </c>
      <c r="AB16" s="66">
        <f>IF(LEN(AC16)&gt;0,VLOOKUP(AC16,'1. Lists'!$AV$3:$AX$7,3,FALSE),"")</f>
        <v>2</v>
      </c>
      <c r="AC16" s="133" t="s">
        <v>13</v>
      </c>
      <c r="AD16" s="66">
        <f>IF(LEN(AE16)&gt;0,VLOOKUP(AE16,'1. Lists'!$AZ$3:$BB$7,3,FALSE),"")</f>
        <v>2</v>
      </c>
      <c r="AE16" s="122" t="s">
        <v>9</v>
      </c>
      <c r="AF16" s="123"/>
      <c r="AG16" s="123"/>
      <c r="AH16" s="66">
        <f>IF(LEN(AI16)&gt;0,VLOOKUP(AI16,'1. Lists'!$BD$3:$BF$15,3,FALSE),"")</f>
        <v>4</v>
      </c>
      <c r="AI16" s="127" t="s">
        <v>339</v>
      </c>
      <c r="AJ16" s="134" t="s">
        <v>68</v>
      </c>
      <c r="AK16" s="135" t="s">
        <v>461</v>
      </c>
      <c r="AL16" s="125" t="s">
        <v>415</v>
      </c>
      <c r="AM16" s="136">
        <v>1</v>
      </c>
      <c r="AN16" s="123"/>
      <c r="AO16" s="137" t="s">
        <v>590</v>
      </c>
      <c r="AP16" s="137" t="s">
        <v>591</v>
      </c>
      <c r="AQ16" s="123"/>
      <c r="AR16" s="123"/>
      <c r="AS16" s="123"/>
      <c r="AT16" s="123"/>
      <c r="AU16" s="135" t="s">
        <v>460</v>
      </c>
      <c r="AV16" s="80" t="str">
        <f>IF(LEN(AW16)&gt;0,VLOOKUP(AW16,'1. Lists'!$BQ:$BR,2,FALSE),"")</f>
        <v>CO</v>
      </c>
      <c r="AW16" s="133" t="s">
        <v>12</v>
      </c>
      <c r="AX16" s="80">
        <f>IF(LEN(AY16)&gt;0,VLOOKUP(AY16,'1. Lists'!$BU$3:$BW$5,3,FALSE),"")</f>
        <v>3</v>
      </c>
      <c r="AY16" s="138" t="s">
        <v>83</v>
      </c>
      <c r="AZ16" s="139">
        <v>1</v>
      </c>
      <c r="BA16" s="82">
        <f t="shared" si="8"/>
        <v>1</v>
      </c>
      <c r="BC16" s="141">
        <v>0</v>
      </c>
      <c r="BD16" s="141">
        <v>1</v>
      </c>
      <c r="BE16" s="141">
        <v>0</v>
      </c>
      <c r="BF16" s="141">
        <v>0</v>
      </c>
      <c r="BG16" s="141">
        <v>0</v>
      </c>
      <c r="BH16" s="141">
        <v>0</v>
      </c>
      <c r="BI16" s="141">
        <v>0</v>
      </c>
      <c r="BJ16" s="141">
        <v>0</v>
      </c>
      <c r="BK16" s="141">
        <v>0</v>
      </c>
      <c r="BL16" s="141">
        <v>0</v>
      </c>
      <c r="BM16" s="141">
        <v>0</v>
      </c>
      <c r="BN16" s="141">
        <v>0</v>
      </c>
      <c r="BP16" s="66">
        <f t="shared" si="9"/>
        <v>1</v>
      </c>
      <c r="BQ16" s="66">
        <f t="shared" si="10"/>
        <v>1</v>
      </c>
      <c r="BR16" s="66">
        <f t="shared" si="11"/>
        <v>1</v>
      </c>
      <c r="BS16" s="66">
        <v>0</v>
      </c>
      <c r="BU16" s="66">
        <f t="shared" si="12"/>
        <v>1</v>
      </c>
      <c r="BV16" s="66">
        <f t="shared" si="13"/>
        <v>1</v>
      </c>
      <c r="BW16" s="66">
        <f t="shared" si="14"/>
        <v>1</v>
      </c>
    </row>
    <row r="17" spans="1:75" ht="60" x14ac:dyDescent="0.25">
      <c r="A17" s="174">
        <f t="shared" si="7"/>
        <v>14</v>
      </c>
      <c r="B17" s="66">
        <f>IF(LEN(D17)&gt;0,VLOOKUP(D17,'1. Lists'!$E$3:$J$52,6,FALSE),"")</f>
        <v>14</v>
      </c>
      <c r="C17" s="66" t="str">
        <f>IF(LEN(D17)&gt;0,VLOOKUP(D17,'1. Lists'!$E$3:$F$52,2,FALSE),"")</f>
        <v>Administration &amp; Community Services</v>
      </c>
      <c r="D17" s="120" t="s">
        <v>373</v>
      </c>
      <c r="E17" s="121"/>
      <c r="F17" s="65" t="str">
        <f>IF(E17&gt;0,VLOOKUP(E17,'2. Top Layer'!$A:$C,3,FALSE),"")</f>
        <v/>
      </c>
      <c r="G17" s="65" t="str">
        <f>IF(E17&gt;0,VLOOKUP(E17,'2. Top Layer'!$A:$T,17,FALSE),"")</f>
        <v/>
      </c>
      <c r="H17" s="66">
        <f>IF(LEN(I17)&gt;0,VLOOKUP(I17,'1. Lists'!$T:$U,2,FALSE),"")</f>
        <v>64</v>
      </c>
      <c r="I17" s="122" t="s">
        <v>435</v>
      </c>
      <c r="J17" s="123"/>
      <c r="K17" s="66">
        <f>IF(LEN(L17)&gt;0,VLOOKUP(L17,'1. Lists'!$AK:$AL,2,FALSE),"")</f>
        <v>9</v>
      </c>
      <c r="L17" s="124" t="s">
        <v>159</v>
      </c>
      <c r="M17" s="70">
        <f>IF(LEN(N17)&gt;0,VLOOKUP(N17,'1. Lists'!$AN:$AQ,4,FALSE),"")</f>
        <v>2</v>
      </c>
      <c r="N17" s="125" t="s">
        <v>382</v>
      </c>
      <c r="O17" s="66">
        <f>IF(LEN(P17)&gt;0,VLOOKUP(P17,'1. Lists'!$AA:$AC,3,FALSE),"")</f>
        <v>5</v>
      </c>
      <c r="P17" s="126" t="s">
        <v>42</v>
      </c>
      <c r="Q17" s="73">
        <f>IF(LEN(R17)&gt;0,VLOOKUP(R17,'1. Lists'!$W:$Y,3,FALSE),"")</f>
        <v>1</v>
      </c>
      <c r="R17" s="127" t="s">
        <v>169</v>
      </c>
      <c r="S17" s="73">
        <f>IF(LEN(T17)&gt;0,VLOOKUP(T17,'1. Lists'!$AH:$AI,2,FALSE),"")</f>
        <v>11</v>
      </c>
      <c r="T17" s="128" t="s">
        <v>396</v>
      </c>
      <c r="U17" s="76">
        <f>IF(LEN(V17)&gt;0,VLOOKUP(V17,'1. Lists'!$AE:$AF,2,FALSE),"")</f>
        <v>11</v>
      </c>
      <c r="V17" s="129" t="s">
        <v>355</v>
      </c>
      <c r="W17" s="130"/>
      <c r="X17" s="131" t="str">
        <f>IF(W17&gt;0,VLOOKUP($W17,'3. Capital'!$A:$J,4,FALSE),"")</f>
        <v/>
      </c>
      <c r="Y17" s="78" t="str">
        <f>IF(W17&gt;0,VLOOKUP($W17,'3. Capital'!$A:$J,10,FALSE),"")</f>
        <v/>
      </c>
      <c r="Z17" s="132" t="s">
        <v>487</v>
      </c>
      <c r="AA17" s="132" t="s">
        <v>488</v>
      </c>
      <c r="AB17" s="66">
        <f>IF(LEN(AC17)&gt;0,VLOOKUP(AC17,'1. Lists'!$AV$3:$AX$7,3,FALSE),"")</f>
        <v>2</v>
      </c>
      <c r="AC17" s="133" t="s">
        <v>13</v>
      </c>
      <c r="AD17" s="66">
        <f>IF(LEN(AE17)&gt;0,VLOOKUP(AE17,'1. Lists'!$AZ$3:$BB$7,3,FALSE),"")</f>
        <v>2</v>
      </c>
      <c r="AE17" s="122" t="s">
        <v>9</v>
      </c>
      <c r="AF17" s="123"/>
      <c r="AG17" s="123"/>
      <c r="AH17" s="66">
        <f>IF(LEN(AI17)&gt;0,VLOOKUP(AI17,'1. Lists'!$BD$3:$BF$15,3,FALSE),"")</f>
        <v>4</v>
      </c>
      <c r="AI17" s="127" t="s">
        <v>339</v>
      </c>
      <c r="AJ17" s="134" t="s">
        <v>68</v>
      </c>
      <c r="AK17" s="135" t="s">
        <v>461</v>
      </c>
      <c r="AL17" s="125" t="s">
        <v>415</v>
      </c>
      <c r="AM17" s="136">
        <v>1</v>
      </c>
      <c r="AN17" s="123"/>
      <c r="AO17" s="137" t="s">
        <v>592</v>
      </c>
      <c r="AP17" s="137" t="s">
        <v>593</v>
      </c>
      <c r="AQ17" s="123"/>
      <c r="AR17" s="123"/>
      <c r="AS17" s="123"/>
      <c r="AT17" s="123"/>
      <c r="AU17" s="135" t="s">
        <v>460</v>
      </c>
      <c r="AV17" s="80" t="str">
        <f>IF(LEN(AW17)&gt;0,VLOOKUP(AW17,'1. Lists'!$BQ:$BR,2,FALSE),"")</f>
        <v>CO</v>
      </c>
      <c r="AW17" s="133" t="s">
        <v>12</v>
      </c>
      <c r="AX17" s="80">
        <f>IF(LEN(AY17)&gt;0,VLOOKUP(AY17,'1. Lists'!$BU$3:$BW$5,3,FALSE),"")</f>
        <v>3</v>
      </c>
      <c r="AY17" s="138" t="s">
        <v>83</v>
      </c>
      <c r="AZ17" s="139">
        <v>1</v>
      </c>
      <c r="BA17" s="82">
        <f t="shared" si="8"/>
        <v>1</v>
      </c>
      <c r="BC17" s="141">
        <v>0</v>
      </c>
      <c r="BD17" s="141">
        <v>0</v>
      </c>
      <c r="BE17" s="141">
        <v>0</v>
      </c>
      <c r="BF17" s="141">
        <v>0</v>
      </c>
      <c r="BG17" s="141">
        <v>0</v>
      </c>
      <c r="BH17" s="141">
        <v>0</v>
      </c>
      <c r="BI17" s="141">
        <v>0</v>
      </c>
      <c r="BJ17" s="141">
        <v>0</v>
      </c>
      <c r="BK17" s="141">
        <v>1</v>
      </c>
      <c r="BL17" s="141">
        <v>0</v>
      </c>
      <c r="BM17" s="141">
        <v>0</v>
      </c>
      <c r="BN17" s="141">
        <v>0</v>
      </c>
      <c r="BP17" s="66">
        <f t="shared" si="9"/>
        <v>1</v>
      </c>
      <c r="BQ17" s="66">
        <f t="shared" si="10"/>
        <v>1</v>
      </c>
      <c r="BR17" s="66">
        <f t="shared" si="11"/>
        <v>1</v>
      </c>
      <c r="BS17" s="66">
        <v>0</v>
      </c>
      <c r="BU17" s="66">
        <f t="shared" si="12"/>
        <v>1</v>
      </c>
      <c r="BV17" s="66">
        <f t="shared" si="13"/>
        <v>1</v>
      </c>
      <c r="BW17" s="66">
        <f t="shared" si="14"/>
        <v>1</v>
      </c>
    </row>
    <row r="18" spans="1:75" ht="75" x14ac:dyDescent="0.25">
      <c r="A18" s="174">
        <f t="shared" si="7"/>
        <v>15</v>
      </c>
      <c r="B18" s="66">
        <f>IF(LEN(D18)&gt;0,VLOOKUP(D18,'1. Lists'!$E$3:$J$52,6,FALSE),"")</f>
        <v>14</v>
      </c>
      <c r="C18" s="66" t="str">
        <f>IF(LEN(D18)&gt;0,VLOOKUP(D18,'1. Lists'!$E$3:$F$52,2,FALSE),"")</f>
        <v>Administration &amp; Community Services</v>
      </c>
      <c r="D18" s="120" t="s">
        <v>373</v>
      </c>
      <c r="E18" s="121"/>
      <c r="F18" s="65" t="str">
        <f>IF(E18&gt;0,VLOOKUP(E18,'2. Top Layer'!$A:$C,3,FALSE),"")</f>
        <v/>
      </c>
      <c r="G18" s="65" t="str">
        <f>IF(E18&gt;0,VLOOKUP(E18,'2. Top Layer'!$A:$T,17,FALSE),"")</f>
        <v/>
      </c>
      <c r="H18" s="66">
        <f>IF(LEN(I18)&gt;0,VLOOKUP(I18,'1. Lists'!$T:$U,2,FALSE),"")</f>
        <v>64</v>
      </c>
      <c r="I18" s="122" t="s">
        <v>435</v>
      </c>
      <c r="J18" s="123"/>
      <c r="K18" s="66">
        <f>IF(LEN(L18)&gt;0,VLOOKUP(L18,'1. Lists'!$AK:$AL,2,FALSE),"")</f>
        <v>9</v>
      </c>
      <c r="L18" s="124" t="s">
        <v>159</v>
      </c>
      <c r="M18" s="70">
        <f>IF(LEN(N18)&gt;0,VLOOKUP(N18,'1. Lists'!$AN:$AQ,4,FALSE),"")</f>
        <v>2</v>
      </c>
      <c r="N18" s="125" t="s">
        <v>382</v>
      </c>
      <c r="O18" s="66">
        <f>IF(LEN(P18)&gt;0,VLOOKUP(P18,'1. Lists'!$AA:$AC,3,FALSE),"")</f>
        <v>5</v>
      </c>
      <c r="P18" s="126" t="s">
        <v>42</v>
      </c>
      <c r="Q18" s="73">
        <f>IF(LEN(R18)&gt;0,VLOOKUP(R18,'1. Lists'!$W:$Y,3,FALSE),"")</f>
        <v>1</v>
      </c>
      <c r="R18" s="127" t="s">
        <v>169</v>
      </c>
      <c r="S18" s="73">
        <f>IF(LEN(T18)&gt;0,VLOOKUP(T18,'1. Lists'!$AH:$AI,2,FALSE),"")</f>
        <v>11</v>
      </c>
      <c r="T18" s="128" t="s">
        <v>396</v>
      </c>
      <c r="U18" s="76">
        <f>IF(LEN(V18)&gt;0,VLOOKUP(V18,'1. Lists'!$AE:$AF,2,FALSE),"")</f>
        <v>11</v>
      </c>
      <c r="V18" s="129" t="s">
        <v>355</v>
      </c>
      <c r="W18" s="130"/>
      <c r="X18" s="131" t="str">
        <f>IF(W18&gt;0,VLOOKUP($W18,'3. Capital'!$A:$J,4,FALSE),"")</f>
        <v/>
      </c>
      <c r="Y18" s="78" t="str">
        <f>IF(W18&gt;0,VLOOKUP($W18,'3. Capital'!$A:$J,10,FALSE),"")</f>
        <v/>
      </c>
      <c r="Z18" s="132" t="s">
        <v>489</v>
      </c>
      <c r="AA18" s="132" t="s">
        <v>490</v>
      </c>
      <c r="AB18" s="66">
        <f>IF(LEN(AC18)&gt;0,VLOOKUP(AC18,'1. Lists'!$AV$3:$AX$7,3,FALSE),"")</f>
        <v>2</v>
      </c>
      <c r="AC18" s="133" t="s">
        <v>13</v>
      </c>
      <c r="AD18" s="66">
        <f>IF(LEN(AE18)&gt;0,VLOOKUP(AE18,'1. Lists'!$AZ$3:$BB$7,3,FALSE),"")</f>
        <v>2</v>
      </c>
      <c r="AE18" s="122" t="s">
        <v>9</v>
      </c>
      <c r="AF18" s="123"/>
      <c r="AG18" s="123"/>
      <c r="AH18" s="66">
        <f>IF(LEN(AI18)&gt;0,VLOOKUP(AI18,'1. Lists'!$BD$3:$BF$15,3,FALSE),"")</f>
        <v>4</v>
      </c>
      <c r="AI18" s="127" t="s">
        <v>339</v>
      </c>
      <c r="AJ18" s="134" t="s">
        <v>68</v>
      </c>
      <c r="AK18" s="135" t="s">
        <v>461</v>
      </c>
      <c r="AL18" s="125" t="s">
        <v>415</v>
      </c>
      <c r="AM18" s="145">
        <v>0.9</v>
      </c>
      <c r="AN18" s="123"/>
      <c r="AO18" s="137">
        <v>0.9</v>
      </c>
      <c r="AP18" s="137" t="s">
        <v>594</v>
      </c>
      <c r="AQ18" s="123"/>
      <c r="AR18" s="123"/>
      <c r="AS18" s="123"/>
      <c r="AT18" s="123"/>
      <c r="AU18" s="135" t="s">
        <v>460</v>
      </c>
      <c r="AV18" s="80" t="str">
        <f>IF(LEN(AW18)&gt;0,VLOOKUP(AW18,'1. Lists'!$BQ:$BR,2,FALSE),"")</f>
        <v>STD</v>
      </c>
      <c r="AW18" s="133" t="s">
        <v>78</v>
      </c>
      <c r="AX18" s="80">
        <f>IF(LEN(AY18)&gt;0,VLOOKUP(AY18,'1. Lists'!$BU$3:$BW$5,3,FALSE),"")</f>
        <v>2</v>
      </c>
      <c r="AY18" s="138" t="s">
        <v>82</v>
      </c>
      <c r="AZ18" s="139">
        <v>90</v>
      </c>
      <c r="BA18" s="82">
        <f t="shared" si="8"/>
        <v>90</v>
      </c>
      <c r="BC18" s="141">
        <v>90</v>
      </c>
      <c r="BD18" s="141">
        <v>90</v>
      </c>
      <c r="BE18" s="141">
        <v>90</v>
      </c>
      <c r="BF18" s="141">
        <v>90</v>
      </c>
      <c r="BG18" s="141">
        <v>90</v>
      </c>
      <c r="BH18" s="141">
        <v>90</v>
      </c>
      <c r="BI18" s="141">
        <v>90</v>
      </c>
      <c r="BJ18" s="141">
        <v>90</v>
      </c>
      <c r="BK18" s="141">
        <v>90</v>
      </c>
      <c r="BL18" s="141">
        <v>90</v>
      </c>
      <c r="BM18" s="141">
        <v>90</v>
      </c>
      <c r="BN18" s="141">
        <v>90</v>
      </c>
      <c r="BP18" s="66">
        <f t="shared" si="9"/>
        <v>90</v>
      </c>
      <c r="BQ18" s="66">
        <f t="shared" si="10"/>
        <v>1080</v>
      </c>
      <c r="BR18" s="66">
        <f t="shared" si="11"/>
        <v>90</v>
      </c>
      <c r="BS18" s="66">
        <v>0</v>
      </c>
      <c r="BU18" s="66">
        <f t="shared" si="12"/>
        <v>90</v>
      </c>
      <c r="BV18" s="66">
        <f t="shared" si="13"/>
        <v>90</v>
      </c>
      <c r="BW18" s="66">
        <f t="shared" si="14"/>
        <v>90</v>
      </c>
    </row>
    <row r="19" spans="1:75" ht="60" x14ac:dyDescent="0.25">
      <c r="A19" s="174">
        <f t="shared" si="7"/>
        <v>16</v>
      </c>
      <c r="B19" s="66">
        <f>IF(LEN(D19)&gt;0,VLOOKUP(D19,'1. Lists'!$E$3:$J$52,6,FALSE),"")</f>
        <v>14</v>
      </c>
      <c r="C19" s="66" t="str">
        <f>IF(LEN(D19)&gt;0,VLOOKUP(D19,'1. Lists'!$E$3:$F$52,2,FALSE),"")</f>
        <v>Administration &amp; Community Services</v>
      </c>
      <c r="D19" s="120" t="s">
        <v>373</v>
      </c>
      <c r="E19" s="121"/>
      <c r="F19" s="65" t="str">
        <f>IF(E19&gt;0,VLOOKUP(E19,'2. Top Layer'!$A:$C,3,FALSE),"")</f>
        <v/>
      </c>
      <c r="G19" s="65" t="str">
        <f>IF(E19&gt;0,VLOOKUP(E19,'2. Top Layer'!$A:$T,17,FALSE),"")</f>
        <v/>
      </c>
      <c r="H19" s="66">
        <f>IF(LEN(I19)&gt;0,VLOOKUP(I19,'1. Lists'!$T:$U,2,FALSE),"")</f>
        <v>64</v>
      </c>
      <c r="I19" s="122" t="s">
        <v>435</v>
      </c>
      <c r="J19" s="123"/>
      <c r="K19" s="66">
        <f>IF(LEN(L19)&gt;0,VLOOKUP(L19,'1. Lists'!$AK:$AL,2,FALSE),"")</f>
        <v>9</v>
      </c>
      <c r="L19" s="124" t="s">
        <v>159</v>
      </c>
      <c r="M19" s="70">
        <f>IF(LEN(N19)&gt;0,VLOOKUP(N19,'1. Lists'!$AN:$AQ,4,FALSE),"")</f>
        <v>2</v>
      </c>
      <c r="N19" s="125" t="s">
        <v>382</v>
      </c>
      <c r="O19" s="66">
        <f>IF(LEN(P19)&gt;0,VLOOKUP(P19,'1. Lists'!$AA:$AC,3,FALSE),"")</f>
        <v>5</v>
      </c>
      <c r="P19" s="126" t="s">
        <v>42</v>
      </c>
      <c r="Q19" s="73">
        <f>IF(LEN(R19)&gt;0,VLOOKUP(R19,'1. Lists'!$W:$Y,3,FALSE),"")</f>
        <v>1</v>
      </c>
      <c r="R19" s="127" t="s">
        <v>169</v>
      </c>
      <c r="S19" s="73">
        <f>IF(LEN(T19)&gt;0,VLOOKUP(T19,'1. Lists'!$AH:$AI,2,FALSE),"")</f>
        <v>5</v>
      </c>
      <c r="T19" s="128" t="s">
        <v>390</v>
      </c>
      <c r="U19" s="76">
        <f>IF(LEN(V19)&gt;0,VLOOKUP(V19,'1. Lists'!$AE:$AF,2,FALSE),"")</f>
        <v>11</v>
      </c>
      <c r="V19" s="129" t="s">
        <v>355</v>
      </c>
      <c r="W19" s="130"/>
      <c r="X19" s="131" t="str">
        <f>IF(W19&gt;0,VLOOKUP($W19,'3. Capital'!$A:$J,4,FALSE),"")</f>
        <v/>
      </c>
      <c r="Y19" s="78" t="str">
        <f>IF(W19&gt;0,VLOOKUP($W19,'3. Capital'!$A:$J,10,FALSE),"")</f>
        <v/>
      </c>
      <c r="Z19" s="132" t="s">
        <v>491</v>
      </c>
      <c r="AA19" s="132" t="s">
        <v>492</v>
      </c>
      <c r="AB19" s="66">
        <f>IF(LEN(AC19)&gt;0,VLOOKUP(AC19,'1. Lists'!$AV$3:$AX$7,3,FALSE),"")</f>
        <v>2</v>
      </c>
      <c r="AC19" s="133" t="s">
        <v>13</v>
      </c>
      <c r="AD19" s="66">
        <f>IF(LEN(AE19)&gt;0,VLOOKUP(AE19,'1. Lists'!$AZ$3:$BB$7,3,FALSE),"")</f>
        <v>2</v>
      </c>
      <c r="AE19" s="122" t="s">
        <v>9</v>
      </c>
      <c r="AF19" s="123"/>
      <c r="AG19" s="123"/>
      <c r="AH19" s="66">
        <f>IF(LEN(AI19)&gt;0,VLOOKUP(AI19,'1. Lists'!$BD$3:$BF$15,3,FALSE),"")</f>
        <v>4</v>
      </c>
      <c r="AI19" s="127" t="s">
        <v>339</v>
      </c>
      <c r="AJ19" s="134" t="s">
        <v>68</v>
      </c>
      <c r="AK19" s="135" t="s">
        <v>461</v>
      </c>
      <c r="AL19" s="125" t="s">
        <v>415</v>
      </c>
      <c r="AM19" s="136">
        <v>1</v>
      </c>
      <c r="AN19" s="123"/>
      <c r="AO19" s="137" t="s">
        <v>595</v>
      </c>
      <c r="AP19" s="137" t="s">
        <v>596</v>
      </c>
      <c r="AQ19" s="123"/>
      <c r="AR19" s="123"/>
      <c r="AS19" s="123"/>
      <c r="AT19" s="123"/>
      <c r="AU19" s="135" t="s">
        <v>460</v>
      </c>
      <c r="AV19" s="80" t="str">
        <f>IF(LEN(AW19)&gt;0,VLOOKUP(AW19,'1. Lists'!$BQ:$BR,2,FALSE),"")</f>
        <v>CO</v>
      </c>
      <c r="AW19" s="133" t="s">
        <v>12</v>
      </c>
      <c r="AX19" s="80">
        <f>IF(LEN(AY19)&gt;0,VLOOKUP(AY19,'1. Lists'!$BU$3:$BW$5,3,FALSE),"")</f>
        <v>3</v>
      </c>
      <c r="AY19" s="138" t="s">
        <v>83</v>
      </c>
      <c r="AZ19" s="139">
        <v>1</v>
      </c>
      <c r="BA19" s="82">
        <f t="shared" si="8"/>
        <v>1</v>
      </c>
      <c r="BC19" s="141">
        <v>0</v>
      </c>
      <c r="BD19" s="141">
        <v>0</v>
      </c>
      <c r="BE19" s="141">
        <v>0</v>
      </c>
      <c r="BF19" s="141">
        <v>0</v>
      </c>
      <c r="BG19" s="141">
        <v>0</v>
      </c>
      <c r="BH19" s="141">
        <v>0</v>
      </c>
      <c r="BI19" s="141">
        <v>0</v>
      </c>
      <c r="BJ19" s="141">
        <v>1</v>
      </c>
      <c r="BK19" s="141">
        <v>0</v>
      </c>
      <c r="BL19" s="141">
        <v>0</v>
      </c>
      <c r="BM19" s="141">
        <v>0</v>
      </c>
      <c r="BN19" s="141">
        <v>0</v>
      </c>
      <c r="BP19" s="66">
        <f t="shared" si="9"/>
        <v>1</v>
      </c>
      <c r="BQ19" s="66">
        <f t="shared" si="10"/>
        <v>1</v>
      </c>
      <c r="BR19" s="66">
        <f t="shared" si="11"/>
        <v>1</v>
      </c>
      <c r="BS19" s="66">
        <v>0</v>
      </c>
      <c r="BU19" s="66">
        <f t="shared" si="12"/>
        <v>1</v>
      </c>
      <c r="BV19" s="66">
        <f t="shared" si="13"/>
        <v>1</v>
      </c>
      <c r="BW19" s="66">
        <f t="shared" si="14"/>
        <v>1</v>
      </c>
    </row>
    <row r="20" spans="1:75" ht="60" x14ac:dyDescent="0.25">
      <c r="A20" s="174">
        <f t="shared" si="7"/>
        <v>17</v>
      </c>
      <c r="B20" s="66">
        <f>IF(LEN(D20)&gt;0,VLOOKUP(D20,'1. Lists'!$E$3:$J$52,6,FALSE),"")</f>
        <v>14</v>
      </c>
      <c r="C20" s="66" t="str">
        <f>IF(LEN(D20)&gt;0,VLOOKUP(D20,'1. Lists'!$E$3:$F$52,2,FALSE),"")</f>
        <v>Administration &amp; Community Services</v>
      </c>
      <c r="D20" s="120" t="s">
        <v>373</v>
      </c>
      <c r="E20" s="121"/>
      <c r="F20" s="65" t="str">
        <f>IF(E20&gt;0,VLOOKUP(E20,'2. Top Layer'!$A:$C,3,FALSE),"")</f>
        <v/>
      </c>
      <c r="G20" s="65" t="str">
        <f>IF(E20&gt;0,VLOOKUP(E20,'2. Top Layer'!$A:$T,17,FALSE),"")</f>
        <v/>
      </c>
      <c r="H20" s="66">
        <f>IF(LEN(I20)&gt;0,VLOOKUP(I20,'1. Lists'!$T:$U,2,FALSE),"")</f>
        <v>64</v>
      </c>
      <c r="I20" s="122" t="s">
        <v>435</v>
      </c>
      <c r="J20" s="123"/>
      <c r="K20" s="66">
        <f>IF(LEN(L20)&gt;0,VLOOKUP(L20,'1. Lists'!$AK:$AL,2,FALSE),"")</f>
        <v>9</v>
      </c>
      <c r="L20" s="124" t="s">
        <v>159</v>
      </c>
      <c r="M20" s="70">
        <f>IF(LEN(N20)&gt;0,VLOOKUP(N20,'1. Lists'!$AN:$AQ,4,FALSE),"")</f>
        <v>2</v>
      </c>
      <c r="N20" s="125" t="s">
        <v>382</v>
      </c>
      <c r="O20" s="66">
        <f>IF(LEN(P20)&gt;0,VLOOKUP(P20,'1. Lists'!$AA:$AC,3,FALSE),"")</f>
        <v>5</v>
      </c>
      <c r="P20" s="126" t="s">
        <v>42</v>
      </c>
      <c r="Q20" s="73">
        <f>IF(LEN(R20)&gt;0,VLOOKUP(R20,'1. Lists'!$W:$Y,3,FALSE),"")</f>
        <v>1</v>
      </c>
      <c r="R20" s="127" t="s">
        <v>169</v>
      </c>
      <c r="S20" s="73">
        <f>IF(LEN(T20)&gt;0,VLOOKUP(T20,'1. Lists'!$AH:$AI,2,FALSE),"")</f>
        <v>11</v>
      </c>
      <c r="T20" s="128" t="s">
        <v>396</v>
      </c>
      <c r="U20" s="76">
        <f>IF(LEN(V20)&gt;0,VLOOKUP(V20,'1. Lists'!$AE:$AF,2,FALSE),"")</f>
        <v>11</v>
      </c>
      <c r="V20" s="129" t="s">
        <v>355</v>
      </c>
      <c r="W20" s="130"/>
      <c r="X20" s="131" t="str">
        <f>IF(W20&gt;0,VLOOKUP($W20,'3. Capital'!$A:$J,4,FALSE),"")</f>
        <v/>
      </c>
      <c r="Y20" s="78" t="str">
        <f>IF(W20&gt;0,VLOOKUP($W20,'3. Capital'!$A:$J,10,FALSE),"")</f>
        <v/>
      </c>
      <c r="Z20" s="132" t="s">
        <v>493</v>
      </c>
      <c r="AA20" s="132" t="s">
        <v>494</v>
      </c>
      <c r="AB20" s="66">
        <f>IF(LEN(AC20)&gt;0,VLOOKUP(AC20,'1. Lists'!$AV$3:$AX$7,3,FALSE),"")</f>
        <v>2</v>
      </c>
      <c r="AC20" s="133" t="s">
        <v>13</v>
      </c>
      <c r="AD20" s="66">
        <f>IF(LEN(AE20)&gt;0,VLOOKUP(AE20,'1. Lists'!$AZ$3:$BB$7,3,FALSE),"")</f>
        <v>2</v>
      </c>
      <c r="AE20" s="122" t="s">
        <v>9</v>
      </c>
      <c r="AF20" s="123"/>
      <c r="AG20" s="123"/>
      <c r="AH20" s="66">
        <f>IF(LEN(AI20)&gt;0,VLOOKUP(AI20,'1. Lists'!$BD$3:$BF$15,3,FALSE),"")</f>
        <v>4</v>
      </c>
      <c r="AI20" s="127" t="s">
        <v>339</v>
      </c>
      <c r="AJ20" s="134" t="s">
        <v>68</v>
      </c>
      <c r="AK20" s="135" t="s">
        <v>461</v>
      </c>
      <c r="AL20" s="125" t="s">
        <v>415</v>
      </c>
      <c r="AM20" s="136">
        <v>1</v>
      </c>
      <c r="AN20" s="123"/>
      <c r="AO20" s="137" t="s">
        <v>597</v>
      </c>
      <c r="AP20" s="137" t="s">
        <v>598</v>
      </c>
      <c r="AQ20" s="123"/>
      <c r="AR20" s="123"/>
      <c r="AS20" s="123"/>
      <c r="AT20" s="123"/>
      <c r="AU20" s="135" t="s">
        <v>460</v>
      </c>
      <c r="AV20" s="80" t="str">
        <f>IF(LEN(AW20)&gt;0,VLOOKUP(AW20,'1. Lists'!$BQ:$BR,2,FALSE),"")</f>
        <v>CO</v>
      </c>
      <c r="AW20" s="133" t="s">
        <v>12</v>
      </c>
      <c r="AX20" s="80">
        <f>IF(LEN(AY20)&gt;0,VLOOKUP(AY20,'1. Lists'!$BU$3:$BW$5,3,FALSE),"")</f>
        <v>3</v>
      </c>
      <c r="AY20" s="138" t="s">
        <v>83</v>
      </c>
      <c r="AZ20" s="139">
        <v>1</v>
      </c>
      <c r="BA20" s="82">
        <f t="shared" si="8"/>
        <v>1</v>
      </c>
      <c r="BC20" s="141">
        <v>0</v>
      </c>
      <c r="BD20" s="141">
        <v>0</v>
      </c>
      <c r="BE20" s="141">
        <v>0</v>
      </c>
      <c r="BF20" s="141">
        <v>0</v>
      </c>
      <c r="BG20" s="141">
        <v>0</v>
      </c>
      <c r="BH20" s="141">
        <v>0</v>
      </c>
      <c r="BI20" s="141">
        <v>0</v>
      </c>
      <c r="BJ20" s="141">
        <v>0</v>
      </c>
      <c r="BK20" s="141">
        <v>1</v>
      </c>
      <c r="BL20" s="141">
        <v>0</v>
      </c>
      <c r="BM20" s="141">
        <v>0</v>
      </c>
      <c r="BN20" s="141">
        <v>0</v>
      </c>
      <c r="BP20" s="66">
        <f t="shared" si="9"/>
        <v>1</v>
      </c>
      <c r="BQ20" s="66">
        <f t="shared" si="10"/>
        <v>1</v>
      </c>
      <c r="BR20" s="66">
        <f t="shared" si="11"/>
        <v>1</v>
      </c>
      <c r="BS20" s="66">
        <v>0</v>
      </c>
      <c r="BU20" s="66">
        <f t="shared" si="12"/>
        <v>1</v>
      </c>
      <c r="BV20" s="66">
        <f t="shared" si="13"/>
        <v>1</v>
      </c>
      <c r="BW20" s="66">
        <f t="shared" si="14"/>
        <v>1</v>
      </c>
    </row>
    <row r="21" spans="1:75" ht="75" x14ac:dyDescent="0.25">
      <c r="A21" s="174">
        <f t="shared" si="7"/>
        <v>18</v>
      </c>
      <c r="B21" s="66">
        <f>IF(LEN(D21)&gt;0,VLOOKUP(D21,'1. Lists'!$E$3:$J$52,6,FALSE),"")</f>
        <v>14</v>
      </c>
      <c r="C21" s="66" t="str">
        <f>IF(LEN(D21)&gt;0,VLOOKUP(D21,'1. Lists'!$E$3:$F$52,2,FALSE),"")</f>
        <v>Administration &amp; Community Services</v>
      </c>
      <c r="D21" s="120" t="s">
        <v>373</v>
      </c>
      <c r="E21" s="121"/>
      <c r="F21" s="65" t="str">
        <f>IF(E21&gt;0,VLOOKUP(E21,'2. Top Layer'!$A:$C,3,FALSE),"")</f>
        <v/>
      </c>
      <c r="G21" s="65" t="str">
        <f>IF(E21&gt;0,VLOOKUP(E21,'2. Top Layer'!$A:$T,17,FALSE),"")</f>
        <v/>
      </c>
      <c r="H21" s="66">
        <f>IF(LEN(I21)&gt;0,VLOOKUP(I21,'1. Lists'!$T:$U,2,FALSE),"")</f>
        <v>64</v>
      </c>
      <c r="I21" s="122" t="s">
        <v>435</v>
      </c>
      <c r="J21" s="123"/>
      <c r="K21" s="66">
        <f>IF(LEN(L21)&gt;0,VLOOKUP(L21,'1. Lists'!$AK:$AL,2,FALSE),"")</f>
        <v>9</v>
      </c>
      <c r="L21" s="124" t="s">
        <v>159</v>
      </c>
      <c r="M21" s="70">
        <f>IF(LEN(N21)&gt;0,VLOOKUP(N21,'1. Lists'!$AN:$AQ,4,FALSE),"")</f>
        <v>2</v>
      </c>
      <c r="N21" s="125" t="s">
        <v>382</v>
      </c>
      <c r="O21" s="66">
        <f>IF(LEN(P21)&gt;0,VLOOKUP(P21,'1. Lists'!$AA:$AC,3,FALSE),"")</f>
        <v>5</v>
      </c>
      <c r="P21" s="126" t="s">
        <v>42</v>
      </c>
      <c r="Q21" s="73">
        <f>IF(LEN(R21)&gt;0,VLOOKUP(R21,'1. Lists'!$W:$Y,3,FALSE),"")</f>
        <v>1</v>
      </c>
      <c r="R21" s="127" t="s">
        <v>169</v>
      </c>
      <c r="S21" s="73">
        <f>IF(LEN(T21)&gt;0,VLOOKUP(T21,'1. Lists'!$AH:$AI,2,FALSE),"")</f>
        <v>17</v>
      </c>
      <c r="T21" s="128" t="s">
        <v>402</v>
      </c>
      <c r="U21" s="76">
        <f>IF(LEN(V21)&gt;0,VLOOKUP(V21,'1. Lists'!$AE:$AF,2,FALSE),"")</f>
        <v>11</v>
      </c>
      <c r="V21" s="129" t="s">
        <v>355</v>
      </c>
      <c r="W21" s="130"/>
      <c r="X21" s="131" t="str">
        <f>IF(W21&gt;0,VLOOKUP($W21,'3. Capital'!$A:$J,4,FALSE),"")</f>
        <v/>
      </c>
      <c r="Y21" s="78" t="str">
        <f>IF(W21&gt;0,VLOOKUP($W21,'3. Capital'!$A:$J,10,FALSE),"")</f>
        <v/>
      </c>
      <c r="Z21" s="132" t="s">
        <v>496</v>
      </c>
      <c r="AA21" s="132" t="s">
        <v>466</v>
      </c>
      <c r="AB21" s="66">
        <f>IF(LEN(AC21)&gt;0,VLOOKUP(AC21,'1. Lists'!$AV$3:$AX$7,3,FALSE),"")</f>
        <v>3</v>
      </c>
      <c r="AC21" s="133" t="s">
        <v>4</v>
      </c>
      <c r="AD21" s="66">
        <f>IF(LEN(AE21)&gt;0,VLOOKUP(AE21,'1. Lists'!$AZ$3:$BB$7,3,FALSE),"")</f>
        <v>2</v>
      </c>
      <c r="AE21" s="122" t="s">
        <v>9</v>
      </c>
      <c r="AF21" s="123"/>
      <c r="AG21" s="123"/>
      <c r="AH21" s="66">
        <f>IF(LEN(AI21)&gt;0,VLOOKUP(AI21,'1. Lists'!$BD$3:$BF$15,3,FALSE),"")</f>
        <v>5</v>
      </c>
      <c r="AI21" s="127" t="s">
        <v>340</v>
      </c>
      <c r="AJ21" s="134" t="s">
        <v>68</v>
      </c>
      <c r="AK21" s="135" t="s">
        <v>461</v>
      </c>
      <c r="AL21" s="125" t="s">
        <v>415</v>
      </c>
      <c r="AM21" s="145">
        <v>1</v>
      </c>
      <c r="AN21" s="123"/>
      <c r="AO21" s="137">
        <v>1</v>
      </c>
      <c r="AP21" s="137" t="s">
        <v>573</v>
      </c>
      <c r="AQ21" s="123"/>
      <c r="AR21" s="123"/>
      <c r="AS21" s="123"/>
      <c r="AT21" s="123"/>
      <c r="AU21" s="135" t="s">
        <v>460</v>
      </c>
      <c r="AV21" s="80" t="str">
        <f>IF(LEN(AW21)&gt;0,VLOOKUP(AW21,'1. Lists'!$BQ:$BR,2,FALSE),"")</f>
        <v>CO</v>
      </c>
      <c r="AW21" s="133" t="s">
        <v>12</v>
      </c>
      <c r="AX21" s="80">
        <f>IF(LEN(AY21)&gt;0,VLOOKUP(AY21,'1. Lists'!$BU$3:$BW$5,3,FALSE),"")</f>
        <v>2</v>
      </c>
      <c r="AY21" s="138" t="s">
        <v>82</v>
      </c>
      <c r="AZ21" s="139">
        <v>100</v>
      </c>
      <c r="BA21" s="82">
        <f t="shared" si="8"/>
        <v>100</v>
      </c>
      <c r="BC21" s="141">
        <v>100</v>
      </c>
      <c r="BD21" s="141">
        <v>100</v>
      </c>
      <c r="BE21" s="141">
        <v>100</v>
      </c>
      <c r="BF21" s="141">
        <v>100</v>
      </c>
      <c r="BG21" s="141">
        <v>100</v>
      </c>
      <c r="BH21" s="141">
        <v>100</v>
      </c>
      <c r="BI21" s="141">
        <v>100</v>
      </c>
      <c r="BJ21" s="141">
        <v>100</v>
      </c>
      <c r="BK21" s="141">
        <v>100</v>
      </c>
      <c r="BL21" s="141">
        <v>100</v>
      </c>
      <c r="BM21" s="141">
        <v>100</v>
      </c>
      <c r="BN21" s="141">
        <v>100</v>
      </c>
      <c r="BP21" s="66">
        <f t="shared" si="9"/>
        <v>100</v>
      </c>
      <c r="BQ21" s="66">
        <f t="shared" si="10"/>
        <v>1200</v>
      </c>
      <c r="BR21" s="66">
        <f t="shared" si="11"/>
        <v>100</v>
      </c>
      <c r="BS21" s="66">
        <v>0</v>
      </c>
      <c r="BU21" s="66">
        <f t="shared" si="12"/>
        <v>100</v>
      </c>
      <c r="BV21" s="66">
        <f t="shared" si="13"/>
        <v>100</v>
      </c>
      <c r="BW21" s="66">
        <f t="shared" si="14"/>
        <v>100</v>
      </c>
    </row>
    <row r="22" spans="1:75" ht="60" x14ac:dyDescent="0.25">
      <c r="A22" s="174">
        <f t="shared" si="7"/>
        <v>19</v>
      </c>
      <c r="B22" s="66">
        <f>IF(LEN(D22)&gt;0,VLOOKUP(D22,'1. Lists'!$E$3:$J$52,6,FALSE),"")</f>
        <v>14</v>
      </c>
      <c r="C22" s="66" t="str">
        <f>IF(LEN(D22)&gt;0,VLOOKUP(D22,'1. Lists'!$E$3:$F$52,2,FALSE),"")</f>
        <v>Administration &amp; Community Services</v>
      </c>
      <c r="D22" s="120" t="s">
        <v>373</v>
      </c>
      <c r="E22" s="121"/>
      <c r="F22" s="65" t="str">
        <f>IF(E22&gt;0,VLOOKUP(E22,'2. Top Layer'!$A:$C,3,FALSE),"")</f>
        <v/>
      </c>
      <c r="G22" s="65" t="str">
        <f>IF(E22&gt;0,VLOOKUP(E22,'2. Top Layer'!$A:$T,17,FALSE),"")</f>
        <v/>
      </c>
      <c r="H22" s="66">
        <f>IF(LEN(I22)&gt;0,VLOOKUP(I22,'1. Lists'!$T:$U,2,FALSE),"")</f>
        <v>64</v>
      </c>
      <c r="I22" s="122" t="s">
        <v>435</v>
      </c>
      <c r="J22" s="123"/>
      <c r="K22" s="66">
        <f>IF(LEN(L22)&gt;0,VLOOKUP(L22,'1. Lists'!$AK:$AL,2,FALSE),"")</f>
        <v>9</v>
      </c>
      <c r="L22" s="124" t="s">
        <v>159</v>
      </c>
      <c r="M22" s="70">
        <f>IF(LEN(N22)&gt;0,VLOOKUP(N22,'1. Lists'!$AN:$AQ,4,FALSE),"")</f>
        <v>2</v>
      </c>
      <c r="N22" s="125" t="s">
        <v>382</v>
      </c>
      <c r="O22" s="66">
        <f>IF(LEN(P22)&gt;0,VLOOKUP(P22,'1. Lists'!$AA:$AC,3,FALSE),"")</f>
        <v>5</v>
      </c>
      <c r="P22" s="126" t="s">
        <v>42</v>
      </c>
      <c r="Q22" s="73">
        <f>IF(LEN(R22)&gt;0,VLOOKUP(R22,'1. Lists'!$W:$Y,3,FALSE),"")</f>
        <v>1</v>
      </c>
      <c r="R22" s="127" t="s">
        <v>169</v>
      </c>
      <c r="S22" s="73">
        <f>IF(LEN(T22)&gt;0,VLOOKUP(T22,'1. Lists'!$AH:$AI,2,FALSE),"")</f>
        <v>11</v>
      </c>
      <c r="T22" s="128" t="s">
        <v>396</v>
      </c>
      <c r="U22" s="76">
        <f>IF(LEN(V22)&gt;0,VLOOKUP(V22,'1. Lists'!$AE:$AF,2,FALSE),"")</f>
        <v>11</v>
      </c>
      <c r="V22" s="129" t="s">
        <v>355</v>
      </c>
      <c r="W22" s="130"/>
      <c r="X22" s="131" t="str">
        <f>IF(W22&gt;0,VLOOKUP($W22,'3. Capital'!$A:$J,4,FALSE),"")</f>
        <v/>
      </c>
      <c r="Y22" s="78" t="str">
        <f>IF(W22&gt;0,VLOOKUP($W22,'3. Capital'!$A:$J,10,FALSE),"")</f>
        <v/>
      </c>
      <c r="Z22" s="132" t="s">
        <v>681</v>
      </c>
      <c r="AA22" s="132" t="s">
        <v>497</v>
      </c>
      <c r="AB22" s="66">
        <f>IF(LEN(AC22)&gt;0,VLOOKUP(AC22,'1. Lists'!$AV$3:$AX$7,3,FALSE),"")</f>
        <v>2</v>
      </c>
      <c r="AC22" s="133" t="s">
        <v>13</v>
      </c>
      <c r="AD22" s="66">
        <f>IF(LEN(AE22)&gt;0,VLOOKUP(AE22,'1. Lists'!$AZ$3:$BB$7,3,FALSE),"")</f>
        <v>2</v>
      </c>
      <c r="AE22" s="122" t="s">
        <v>9</v>
      </c>
      <c r="AF22" s="123"/>
      <c r="AG22" s="123"/>
      <c r="AH22" s="66">
        <f>IF(LEN(AI22)&gt;0,VLOOKUP(AI22,'1. Lists'!$BD$3:$BF$15,3,FALSE),"")</f>
        <v>4</v>
      </c>
      <c r="AI22" s="127" t="s">
        <v>339</v>
      </c>
      <c r="AJ22" s="134" t="s">
        <v>68</v>
      </c>
      <c r="AK22" s="135" t="s">
        <v>461</v>
      </c>
      <c r="AL22" s="125" t="s">
        <v>415</v>
      </c>
      <c r="AM22" s="136">
        <v>10</v>
      </c>
      <c r="AN22" s="123"/>
      <c r="AO22" s="137" t="s">
        <v>600</v>
      </c>
      <c r="AP22" s="137" t="s">
        <v>682</v>
      </c>
      <c r="AQ22" s="123"/>
      <c r="AR22" s="123"/>
      <c r="AS22" s="123"/>
      <c r="AT22" s="123"/>
      <c r="AU22" s="135" t="s">
        <v>460</v>
      </c>
      <c r="AV22" s="80" t="str">
        <f>IF(LEN(AW22)&gt;0,VLOOKUP(AW22,'1. Lists'!$BQ:$BR,2,FALSE),"")</f>
        <v>ACC</v>
      </c>
      <c r="AW22" s="133" t="s">
        <v>14</v>
      </c>
      <c r="AX22" s="80">
        <f>IF(LEN(AY22)&gt;0,VLOOKUP(AY22,'1. Lists'!$BU$3:$BW$5,3,FALSE),"")</f>
        <v>3</v>
      </c>
      <c r="AY22" s="138" t="s">
        <v>83</v>
      </c>
      <c r="AZ22" s="139">
        <v>10</v>
      </c>
      <c r="BA22" s="82">
        <f t="shared" si="8"/>
        <v>10</v>
      </c>
      <c r="BC22" s="141">
        <v>1</v>
      </c>
      <c r="BD22" s="141">
        <v>1</v>
      </c>
      <c r="BE22" s="141">
        <v>1</v>
      </c>
      <c r="BF22" s="141">
        <v>1</v>
      </c>
      <c r="BG22" s="141">
        <v>1</v>
      </c>
      <c r="BH22" s="141">
        <v>0</v>
      </c>
      <c r="BI22" s="141">
        <v>0</v>
      </c>
      <c r="BJ22" s="141">
        <v>1</v>
      </c>
      <c r="BK22" s="141">
        <v>1</v>
      </c>
      <c r="BL22" s="141">
        <v>1</v>
      </c>
      <c r="BM22" s="141">
        <v>1</v>
      </c>
      <c r="BN22" s="141">
        <v>1</v>
      </c>
      <c r="BP22" s="66">
        <f t="shared" si="9"/>
        <v>1</v>
      </c>
      <c r="BQ22" s="66">
        <f t="shared" si="10"/>
        <v>10</v>
      </c>
      <c r="BR22" s="66">
        <f t="shared" si="11"/>
        <v>1</v>
      </c>
      <c r="BS22" s="66">
        <v>0</v>
      </c>
      <c r="BU22" s="66">
        <f t="shared" si="12"/>
        <v>1</v>
      </c>
      <c r="BV22" s="66">
        <f t="shared" si="13"/>
        <v>1</v>
      </c>
      <c r="BW22" s="66">
        <f t="shared" si="14"/>
        <v>1</v>
      </c>
    </row>
    <row r="23" spans="1:75" ht="75" x14ac:dyDescent="0.25">
      <c r="A23" s="174">
        <f t="shared" si="7"/>
        <v>20</v>
      </c>
      <c r="B23" s="66">
        <f>IF(LEN(D23)&gt;0,VLOOKUP(D23,'1. Lists'!$E$3:$J$52,6,FALSE),"")</f>
        <v>14</v>
      </c>
      <c r="C23" s="66" t="str">
        <f>IF(LEN(D23)&gt;0,VLOOKUP(D23,'1. Lists'!$E$3:$F$52,2,FALSE),"")</f>
        <v>Administration &amp; Community Services</v>
      </c>
      <c r="D23" s="120" t="s">
        <v>373</v>
      </c>
      <c r="E23" s="121"/>
      <c r="F23" s="65" t="str">
        <f>IF(E23&gt;0,VLOOKUP(E23,'2. Top Layer'!$A:$C,3,FALSE),"")</f>
        <v/>
      </c>
      <c r="G23" s="65" t="str">
        <f>IF(E23&gt;0,VLOOKUP(E23,'2. Top Layer'!$A:$T,17,FALSE),"")</f>
        <v/>
      </c>
      <c r="H23" s="66">
        <f>IF(LEN(I23)&gt;0,VLOOKUP(I23,'1. Lists'!$T:$U,2,FALSE),"")</f>
        <v>64</v>
      </c>
      <c r="I23" s="122" t="s">
        <v>435</v>
      </c>
      <c r="J23" s="123"/>
      <c r="K23" s="66">
        <f>IF(LEN(L23)&gt;0,VLOOKUP(L23,'1. Lists'!$AK:$AL,2,FALSE),"")</f>
        <v>9</v>
      </c>
      <c r="L23" s="124" t="s">
        <v>159</v>
      </c>
      <c r="M23" s="70">
        <f>IF(LEN(N23)&gt;0,VLOOKUP(N23,'1. Lists'!$AN:$AQ,4,FALSE),"")</f>
        <v>2</v>
      </c>
      <c r="N23" s="125" t="s">
        <v>382</v>
      </c>
      <c r="O23" s="66">
        <f>IF(LEN(P23)&gt;0,VLOOKUP(P23,'1. Lists'!$AA:$AC,3,FALSE),"")</f>
        <v>5</v>
      </c>
      <c r="P23" s="134" t="s">
        <v>42</v>
      </c>
      <c r="Q23" s="73">
        <f>IF(LEN(R23)&gt;0,VLOOKUP(R23,'1. Lists'!$W:$Y,3,FALSE),"")</f>
        <v>1</v>
      </c>
      <c r="R23" s="127" t="s">
        <v>169</v>
      </c>
      <c r="S23" s="73">
        <f>IF(LEN(T23)&gt;0,VLOOKUP(T23,'1. Lists'!$AH:$AI,2,FALSE),"")</f>
        <v>11</v>
      </c>
      <c r="T23" s="128" t="s">
        <v>396</v>
      </c>
      <c r="U23" s="76">
        <f>IF(LEN(V23)&gt;0,VLOOKUP(V23,'1. Lists'!$AE:$AF,2,FALSE),"")</f>
        <v>11</v>
      </c>
      <c r="V23" s="129" t="s">
        <v>355</v>
      </c>
      <c r="W23" s="130"/>
      <c r="X23" s="131" t="str">
        <f>IF(W23&gt;0,VLOOKUP($W23,#REF!,4,FALSE),"")</f>
        <v/>
      </c>
      <c r="Y23" s="78" t="str">
        <f>IF(W23&gt;0,VLOOKUP($W23,#REF!,10,FALSE),"")</f>
        <v/>
      </c>
      <c r="Z23" s="132" t="s">
        <v>791</v>
      </c>
      <c r="AA23" s="132" t="s">
        <v>468</v>
      </c>
      <c r="AB23" s="66">
        <f>IF(LEN(AC23)&gt;0,VLOOKUP(AC23,'1. Lists'!$AV$3:$AX$7,3,FALSE),"")</f>
        <v>2</v>
      </c>
      <c r="AC23" s="133" t="s">
        <v>13</v>
      </c>
      <c r="AD23" s="66">
        <f>IF(LEN(AE23)&gt;0,VLOOKUP(AE23,'1. Lists'!$AZ$3:$BB$7,3,FALSE),"")</f>
        <v>2</v>
      </c>
      <c r="AE23" s="122" t="s">
        <v>9</v>
      </c>
      <c r="AF23" s="123"/>
      <c r="AG23" s="123"/>
      <c r="AH23" s="66">
        <f>IF(LEN(AI23)&gt;0,VLOOKUP(AI23,'1. Lists'!$BD$3:$BF$15,3,FALSE),"")</f>
        <v>5</v>
      </c>
      <c r="AI23" s="127" t="s">
        <v>340</v>
      </c>
      <c r="AJ23" s="134" t="s">
        <v>68</v>
      </c>
      <c r="AK23" s="135" t="s">
        <v>461</v>
      </c>
      <c r="AL23" s="125" t="s">
        <v>415</v>
      </c>
      <c r="AM23" s="136">
        <v>10</v>
      </c>
      <c r="AN23" s="123"/>
      <c r="AO23" s="136" t="s">
        <v>601</v>
      </c>
      <c r="AP23" s="137" t="s">
        <v>790</v>
      </c>
      <c r="AQ23" s="123"/>
      <c r="AR23" s="123"/>
      <c r="AS23" s="123"/>
      <c r="AT23" s="123"/>
      <c r="AU23" s="135" t="s">
        <v>460</v>
      </c>
      <c r="AV23" s="80" t="str">
        <f>IF(LEN(AW23)&gt;0,VLOOKUP(AW23,'1. Lists'!$BQ:$BR,2,FALSE),"")</f>
        <v>ACC</v>
      </c>
      <c r="AW23" s="120" t="s">
        <v>14</v>
      </c>
      <c r="AX23" s="80">
        <f>IF(LEN(AY23)&gt;0,VLOOKUP(AY23,'1. Lists'!$BU$3:$BW$5,3,FALSE),"")</f>
        <v>3</v>
      </c>
      <c r="AY23" s="138" t="s">
        <v>83</v>
      </c>
      <c r="AZ23" s="139">
        <v>12</v>
      </c>
      <c r="BA23" s="82">
        <f t="shared" si="8"/>
        <v>12</v>
      </c>
      <c r="BC23" s="141">
        <v>1</v>
      </c>
      <c r="BD23" s="141">
        <v>1</v>
      </c>
      <c r="BE23" s="141">
        <v>1</v>
      </c>
      <c r="BF23" s="141">
        <v>1</v>
      </c>
      <c r="BG23" s="141">
        <v>1</v>
      </c>
      <c r="BH23" s="141">
        <v>1</v>
      </c>
      <c r="BI23" s="141">
        <v>1</v>
      </c>
      <c r="BJ23" s="141">
        <v>1</v>
      </c>
      <c r="BK23" s="141">
        <v>1</v>
      </c>
      <c r="BL23" s="141">
        <v>1</v>
      </c>
      <c r="BM23" s="141">
        <v>1</v>
      </c>
      <c r="BN23" s="141">
        <v>1</v>
      </c>
      <c r="BP23" s="66">
        <f t="shared" si="9"/>
        <v>1</v>
      </c>
      <c r="BQ23" s="66">
        <f t="shared" si="10"/>
        <v>12</v>
      </c>
      <c r="BR23" s="66">
        <f t="shared" si="11"/>
        <v>1</v>
      </c>
      <c r="BS23" s="66">
        <v>0</v>
      </c>
      <c r="BU23" s="66">
        <f t="shared" si="12"/>
        <v>1</v>
      </c>
      <c r="BV23" s="66">
        <f t="shared" si="13"/>
        <v>1</v>
      </c>
      <c r="BW23" s="66">
        <f t="shared" si="14"/>
        <v>1</v>
      </c>
    </row>
    <row r="24" spans="1:75" ht="75" x14ac:dyDescent="0.25">
      <c r="A24" s="174">
        <f t="shared" si="7"/>
        <v>21</v>
      </c>
      <c r="B24" s="66">
        <f>IF(LEN(D24)&gt;0,VLOOKUP(D24,'1. Lists'!$E$3:$J$52,6,FALSE),"")</f>
        <v>14</v>
      </c>
      <c r="C24" s="66" t="str">
        <f>IF(LEN(D24)&gt;0,VLOOKUP(D24,'1. Lists'!$E$3:$F$52,2,FALSE),"")</f>
        <v>Administration &amp; Community Services</v>
      </c>
      <c r="D24" s="120" t="s">
        <v>373</v>
      </c>
      <c r="E24" s="121"/>
      <c r="F24" s="65"/>
      <c r="H24" s="66">
        <f>IF(LEN(I24)&gt;0,VLOOKUP(I24,'1. Lists'!$T:$U,2,FALSE),"")</f>
        <v>67</v>
      </c>
      <c r="I24" s="122" t="s">
        <v>437</v>
      </c>
      <c r="J24" s="123"/>
      <c r="K24" s="66">
        <f>IF(LEN(L24)&gt;0,VLOOKUP(L24,'1. Lists'!$AK:$AL,2,FALSE),"")</f>
        <v>9</v>
      </c>
      <c r="L24" s="124" t="s">
        <v>159</v>
      </c>
      <c r="M24" s="70">
        <f>IF(LEN(N24)&gt;0,VLOOKUP(N24,'1. Lists'!$AN:$AQ,4,FALSE),"")</f>
        <v>2</v>
      </c>
      <c r="N24" s="125" t="s">
        <v>382</v>
      </c>
      <c r="O24" s="66">
        <f>IF(LEN(P24)&gt;0,VLOOKUP(P24,'1. Lists'!$AA:$AC,3,FALSE),"")</f>
        <v>4</v>
      </c>
      <c r="P24" s="134" t="s">
        <v>41</v>
      </c>
      <c r="Q24" s="73">
        <f>IF(LEN(R24)&gt;0,VLOOKUP(R24,'1. Lists'!$W:$Y,3,FALSE),"")</f>
        <v>1</v>
      </c>
      <c r="R24" s="127" t="s">
        <v>169</v>
      </c>
      <c r="S24" s="73">
        <f>IF(LEN(T24)&gt;0,VLOOKUP(T24,'1. Lists'!$AH:$AI,2,FALSE),"")</f>
        <v>11</v>
      </c>
      <c r="T24" s="128" t="s">
        <v>396</v>
      </c>
      <c r="U24" s="76">
        <f>IF(LEN(V24)&gt;0,VLOOKUP(V24,'1. Lists'!$AE:$AF,2,FALSE),"")</f>
        <v>11</v>
      </c>
      <c r="V24" s="129" t="s">
        <v>355</v>
      </c>
      <c r="W24" s="130"/>
      <c r="X24" s="131"/>
      <c r="Z24" s="132" t="s">
        <v>792</v>
      </c>
      <c r="AA24" s="132" t="s">
        <v>739</v>
      </c>
      <c r="AB24" s="66">
        <f>IF(LEN(AC24)&gt;0,VLOOKUP(AC24,'1. Lists'!$AV$3:$AX$7,3,FALSE),"")</f>
        <v>2</v>
      </c>
      <c r="AC24" s="133" t="s">
        <v>13</v>
      </c>
      <c r="AD24" s="66">
        <f>IF(LEN(AE24)&gt;0,VLOOKUP(AE24,'1. Lists'!$AZ$3:$BB$7,3,FALSE),"")</f>
        <v>2</v>
      </c>
      <c r="AE24" s="122" t="s">
        <v>9</v>
      </c>
      <c r="AF24" s="123"/>
      <c r="AG24" s="123"/>
      <c r="AH24" s="66">
        <f>IF(LEN(AI24)&gt;0,VLOOKUP(AI24,'1. Lists'!$BD$3:$BF$15,3,FALSE),"")</f>
        <v>5</v>
      </c>
      <c r="AI24" s="127" t="s">
        <v>340</v>
      </c>
      <c r="AJ24" s="134" t="s">
        <v>68</v>
      </c>
      <c r="AK24" s="135" t="s">
        <v>461</v>
      </c>
      <c r="AL24" s="125" t="s">
        <v>415</v>
      </c>
      <c r="AM24" s="145" t="s">
        <v>762</v>
      </c>
      <c r="AN24" s="123"/>
      <c r="AO24" s="136" t="s">
        <v>565</v>
      </c>
      <c r="AP24" s="137" t="s">
        <v>790</v>
      </c>
      <c r="AQ24" s="123"/>
      <c r="AR24" s="123"/>
      <c r="AS24" s="123"/>
      <c r="AT24" s="123"/>
      <c r="AU24" s="135" t="s">
        <v>460</v>
      </c>
      <c r="AV24" s="80" t="str">
        <f>IF(LEN(AW24)&gt;0,VLOOKUP(AW24,'1. Lists'!$BQ:$BR,2,FALSE),"")</f>
        <v>ACC</v>
      </c>
      <c r="AW24" s="120" t="s">
        <v>14</v>
      </c>
      <c r="AX24" s="80">
        <f>IF(LEN(AY24)&gt;0,VLOOKUP(AY24,'1. Lists'!$BU$3:$BW$5,3,FALSE),"")</f>
        <v>3</v>
      </c>
      <c r="AY24" s="138" t="s">
        <v>83</v>
      </c>
      <c r="AZ24" s="139">
        <v>4</v>
      </c>
      <c r="BA24" s="82">
        <f t="shared" si="8"/>
        <v>4</v>
      </c>
      <c r="BC24" s="141">
        <v>0</v>
      </c>
      <c r="BD24" s="141">
        <v>0</v>
      </c>
      <c r="BE24" s="141">
        <v>1</v>
      </c>
      <c r="BF24" s="141">
        <v>0</v>
      </c>
      <c r="BG24" s="141">
        <v>0</v>
      </c>
      <c r="BH24" s="141">
        <v>1</v>
      </c>
      <c r="BI24" s="141">
        <v>0</v>
      </c>
      <c r="BJ24" s="141">
        <v>0</v>
      </c>
      <c r="BK24" s="141">
        <v>1</v>
      </c>
      <c r="BL24" s="141">
        <v>0</v>
      </c>
      <c r="BM24" s="141">
        <v>0</v>
      </c>
      <c r="BN24" s="141">
        <v>1</v>
      </c>
      <c r="BP24" s="66">
        <f t="shared" si="9"/>
        <v>1</v>
      </c>
      <c r="BQ24" s="66">
        <f t="shared" si="10"/>
        <v>4</v>
      </c>
      <c r="BR24" s="66">
        <f t="shared" si="11"/>
        <v>1</v>
      </c>
      <c r="BU24" s="66">
        <f t="shared" si="12"/>
        <v>1</v>
      </c>
      <c r="BV24" s="66">
        <f t="shared" si="13"/>
        <v>1</v>
      </c>
      <c r="BW24" s="66">
        <f t="shared" si="14"/>
        <v>1</v>
      </c>
    </row>
    <row r="25" spans="1:75" ht="75" x14ac:dyDescent="0.25">
      <c r="A25" s="174">
        <f t="shared" si="7"/>
        <v>22</v>
      </c>
      <c r="B25" s="66">
        <f>IF(LEN(D25)&gt;0,VLOOKUP(D25,'1. Lists'!$E$3:$J$52,6,FALSE),"")</f>
        <v>14</v>
      </c>
      <c r="C25" s="66" t="str">
        <f>IF(LEN(D25)&gt;0,VLOOKUP(D25,'1. Lists'!$E$3:$F$52,2,FALSE),"")</f>
        <v>Administration &amp; Community Services</v>
      </c>
      <c r="D25" s="120" t="s">
        <v>373</v>
      </c>
      <c r="E25" s="121"/>
      <c r="F25" s="65"/>
      <c r="H25" s="66">
        <f>IF(LEN(I25)&gt;0,VLOOKUP(I25,'1. Lists'!$T:$U,2,FALSE),"")</f>
        <v>67</v>
      </c>
      <c r="I25" s="122" t="s">
        <v>437</v>
      </c>
      <c r="J25" s="123"/>
      <c r="K25" s="66">
        <f>IF(LEN(L25)&gt;0,VLOOKUP(L25,'1. Lists'!$AK:$AL,2,FALSE),"")</f>
        <v>9</v>
      </c>
      <c r="L25" s="124" t="s">
        <v>159</v>
      </c>
      <c r="M25" s="70">
        <f>IF(LEN(N25)&gt;0,VLOOKUP(N25,'1. Lists'!$AN:$AQ,4,FALSE),"")</f>
        <v>2</v>
      </c>
      <c r="N25" s="125" t="s">
        <v>382</v>
      </c>
      <c r="O25" s="66">
        <f>IF(LEN(P25)&gt;0,VLOOKUP(P25,'1. Lists'!$AA:$AC,3,FALSE),"")</f>
        <v>4</v>
      </c>
      <c r="P25" s="134" t="s">
        <v>41</v>
      </c>
      <c r="Q25" s="73">
        <f>IF(LEN(R25)&gt;0,VLOOKUP(R25,'1. Lists'!$W:$Y,3,FALSE),"")</f>
        <v>1</v>
      </c>
      <c r="R25" s="127" t="s">
        <v>169</v>
      </c>
      <c r="S25" s="73">
        <f>IF(LEN(T25)&gt;0,VLOOKUP(T25,'1. Lists'!$AH:$AI,2,FALSE),"")</f>
        <v>11</v>
      </c>
      <c r="T25" s="128" t="s">
        <v>396</v>
      </c>
      <c r="U25" s="76">
        <f>IF(LEN(V25)&gt;0,VLOOKUP(V25,'1. Lists'!$AE:$AF,2,FALSE),"")</f>
        <v>11</v>
      </c>
      <c r="V25" s="129" t="s">
        <v>355</v>
      </c>
      <c r="W25" s="130"/>
      <c r="X25" s="131"/>
      <c r="Z25" s="132" t="s">
        <v>793</v>
      </c>
      <c r="AA25" s="132" t="s">
        <v>794</v>
      </c>
      <c r="AB25" s="66">
        <f>IF(LEN(AC25)&gt;0,VLOOKUP(AC25,'1. Lists'!$AV$3:$AX$7,3,FALSE),"")</f>
        <v>2</v>
      </c>
      <c r="AC25" s="133" t="s">
        <v>13</v>
      </c>
      <c r="AD25" s="66">
        <f>IF(LEN(AE25)&gt;0,VLOOKUP(AE25,'1. Lists'!$AZ$3:$BB$7,3,FALSE),"")</f>
        <v>2</v>
      </c>
      <c r="AE25" s="122" t="s">
        <v>9</v>
      </c>
      <c r="AF25" s="123"/>
      <c r="AG25" s="123"/>
      <c r="AH25" s="66">
        <f>IF(LEN(AI25)&gt;0,VLOOKUP(AI25,'1. Lists'!$BD$3:$BF$15,3,FALSE),"")</f>
        <v>5</v>
      </c>
      <c r="AI25" s="127" t="s">
        <v>340</v>
      </c>
      <c r="AJ25" s="134" t="s">
        <v>68</v>
      </c>
      <c r="AK25" s="135" t="s">
        <v>461</v>
      </c>
      <c r="AL25" s="125" t="s">
        <v>415</v>
      </c>
      <c r="AM25" s="145" t="s">
        <v>762</v>
      </c>
      <c r="AN25" s="123"/>
      <c r="AO25" s="136" t="s">
        <v>795</v>
      </c>
      <c r="AP25" s="137" t="s">
        <v>790</v>
      </c>
      <c r="AQ25" s="123"/>
      <c r="AR25" s="123"/>
      <c r="AS25" s="123"/>
      <c r="AT25" s="123"/>
      <c r="AU25" s="135" t="s">
        <v>460</v>
      </c>
      <c r="AV25" s="80" t="str">
        <f>IF(LEN(AW25)&gt;0,VLOOKUP(AW25,'1. Lists'!$BQ:$BR,2,FALSE),"")</f>
        <v>ACC</v>
      </c>
      <c r="AW25" s="120" t="s">
        <v>14</v>
      </c>
      <c r="AX25" s="80">
        <f>IF(LEN(AY25)&gt;0,VLOOKUP(AY25,'1. Lists'!$BU$3:$BW$5,3,FALSE),"")</f>
        <v>3</v>
      </c>
      <c r="AY25" s="138" t="s">
        <v>83</v>
      </c>
      <c r="AZ25" s="139">
        <v>12</v>
      </c>
      <c r="BA25" s="82">
        <f t="shared" si="8"/>
        <v>12</v>
      </c>
      <c r="BC25" s="141">
        <v>1</v>
      </c>
      <c r="BD25" s="141">
        <v>1</v>
      </c>
      <c r="BE25" s="141">
        <v>1</v>
      </c>
      <c r="BF25" s="141">
        <v>1</v>
      </c>
      <c r="BG25" s="141">
        <v>1</v>
      </c>
      <c r="BH25" s="141">
        <v>1</v>
      </c>
      <c r="BI25" s="141">
        <v>1</v>
      </c>
      <c r="BJ25" s="141">
        <v>1</v>
      </c>
      <c r="BK25" s="141">
        <v>1</v>
      </c>
      <c r="BL25" s="141">
        <v>1</v>
      </c>
      <c r="BM25" s="141">
        <v>1</v>
      </c>
      <c r="BN25" s="141">
        <v>1</v>
      </c>
      <c r="BP25" s="66">
        <f t="shared" si="9"/>
        <v>1</v>
      </c>
      <c r="BQ25" s="66">
        <f t="shared" si="10"/>
        <v>12</v>
      </c>
      <c r="BR25" s="66">
        <f t="shared" si="11"/>
        <v>1</v>
      </c>
      <c r="BU25" s="66">
        <f t="shared" si="12"/>
        <v>1</v>
      </c>
      <c r="BV25" s="66">
        <f t="shared" si="13"/>
        <v>1</v>
      </c>
      <c r="BW25" s="66">
        <f t="shared" si="14"/>
        <v>1</v>
      </c>
    </row>
    <row r="26" spans="1:75" ht="75" x14ac:dyDescent="0.25">
      <c r="A26" s="174">
        <f t="shared" si="7"/>
        <v>23</v>
      </c>
      <c r="B26" s="66">
        <f>IF(LEN(D26)&gt;0,VLOOKUP(D26,'1. Lists'!$E$3:$J$52,6,FALSE),"")</f>
        <v>14</v>
      </c>
      <c r="C26" s="66" t="str">
        <f>IF(LEN(D26)&gt;0,VLOOKUP(D26,'1. Lists'!$E$3:$F$52,2,FALSE),"")</f>
        <v>Administration &amp; Community Services</v>
      </c>
      <c r="D26" s="120" t="s">
        <v>373</v>
      </c>
      <c r="E26" s="121"/>
      <c r="F26" s="65"/>
      <c r="H26" s="66">
        <f>IF(LEN(I26)&gt;0,VLOOKUP(I26,'1. Lists'!$T:$U,2,FALSE),"")</f>
        <v>67</v>
      </c>
      <c r="I26" s="122" t="s">
        <v>437</v>
      </c>
      <c r="J26" s="123"/>
      <c r="K26" s="66">
        <f>IF(LEN(L26)&gt;0,VLOOKUP(L26,'1. Lists'!$AK:$AL,2,FALSE),"")</f>
        <v>9</v>
      </c>
      <c r="L26" s="124" t="s">
        <v>159</v>
      </c>
      <c r="M26" s="70">
        <f>IF(LEN(N26)&gt;0,VLOOKUP(N26,'1. Lists'!$AN:$AQ,4,FALSE),"")</f>
        <v>2</v>
      </c>
      <c r="N26" s="125" t="s">
        <v>382</v>
      </c>
      <c r="O26" s="66">
        <f>IF(LEN(P26)&gt;0,VLOOKUP(P26,'1. Lists'!$AA:$AC,3,FALSE),"")</f>
        <v>4</v>
      </c>
      <c r="P26" s="134" t="s">
        <v>41</v>
      </c>
      <c r="Q26" s="73">
        <f>IF(LEN(R26)&gt;0,VLOOKUP(R26,'1. Lists'!$W:$Y,3,FALSE),"")</f>
        <v>1</v>
      </c>
      <c r="R26" s="127" t="s">
        <v>169</v>
      </c>
      <c r="S26" s="73">
        <f>IF(LEN(T26)&gt;0,VLOOKUP(T26,'1. Lists'!$AH:$AI,2,FALSE),"")</f>
        <v>11</v>
      </c>
      <c r="T26" s="128" t="s">
        <v>396</v>
      </c>
      <c r="U26" s="76">
        <f>IF(LEN(V26)&gt;0,VLOOKUP(V26,'1. Lists'!$AE:$AF,2,FALSE),"")</f>
        <v>11</v>
      </c>
      <c r="V26" s="129" t="s">
        <v>355</v>
      </c>
      <c r="W26" s="130"/>
      <c r="X26" s="131"/>
      <c r="Z26" s="132" t="s">
        <v>796</v>
      </c>
      <c r="AA26" s="132" t="s">
        <v>797</v>
      </c>
      <c r="AB26" s="66">
        <f>IF(LEN(AC26)&gt;0,VLOOKUP(AC26,'1. Lists'!$AV$3:$AX$7,3,FALSE),"")</f>
        <v>3</v>
      </c>
      <c r="AC26" s="133" t="s">
        <v>4</v>
      </c>
      <c r="AD26" s="66">
        <f>IF(LEN(AE26)&gt;0,VLOOKUP(AE26,'1. Lists'!$AZ$3:$BB$7,3,FALSE),"")</f>
        <v>2</v>
      </c>
      <c r="AE26" s="122" t="s">
        <v>9</v>
      </c>
      <c r="AF26" s="123"/>
      <c r="AG26" s="123"/>
      <c r="AH26" s="66">
        <f>IF(LEN(AI26)&gt;0,VLOOKUP(AI26,'1. Lists'!$BD$3:$BF$15,3,FALSE),"")</f>
        <v>5</v>
      </c>
      <c r="AI26" s="127" t="s">
        <v>340</v>
      </c>
      <c r="AJ26" s="134" t="s">
        <v>68</v>
      </c>
      <c r="AK26" s="135" t="s">
        <v>461</v>
      </c>
      <c r="AL26" s="125" t="s">
        <v>415</v>
      </c>
      <c r="AM26" s="145" t="s">
        <v>762</v>
      </c>
      <c r="AN26" s="123"/>
      <c r="AO26" s="145">
        <v>0.85</v>
      </c>
      <c r="AP26" s="137" t="s">
        <v>798</v>
      </c>
      <c r="AQ26" s="123"/>
      <c r="AR26" s="123"/>
      <c r="AS26" s="123"/>
      <c r="AT26" s="123"/>
      <c r="AU26" s="135" t="s">
        <v>460</v>
      </c>
      <c r="AV26" s="80" t="str">
        <f>IF(LEN(AW26)&gt;0,VLOOKUP(AW26,'1. Lists'!$BQ:$BR,2,FALSE),"")</f>
        <v>LAST</v>
      </c>
      <c r="AW26" s="120" t="s">
        <v>190</v>
      </c>
      <c r="AX26" s="80">
        <f>IF(LEN(AY26)&gt;0,VLOOKUP(AY26,'1. Lists'!$BU$3:$BW$5,3,FALSE),"")</f>
        <v>2</v>
      </c>
      <c r="AY26" s="138" t="s">
        <v>82</v>
      </c>
      <c r="AZ26" s="139">
        <v>85</v>
      </c>
      <c r="BA26" s="82">
        <f t="shared" si="8"/>
        <v>85</v>
      </c>
      <c r="BC26" s="141">
        <v>0</v>
      </c>
      <c r="BD26" s="141">
        <v>0</v>
      </c>
      <c r="BE26" s="141">
        <v>0</v>
      </c>
      <c r="BF26" s="141">
        <v>0</v>
      </c>
      <c r="BG26" s="141">
        <v>0</v>
      </c>
      <c r="BH26" s="141">
        <v>0</v>
      </c>
      <c r="BI26" s="141">
        <v>0</v>
      </c>
      <c r="BJ26" s="141">
        <v>0</v>
      </c>
      <c r="BK26" s="141">
        <v>0</v>
      </c>
      <c r="BL26" s="141">
        <v>0</v>
      </c>
      <c r="BM26" s="141">
        <v>0</v>
      </c>
      <c r="BN26" s="141">
        <v>85</v>
      </c>
      <c r="BP26" s="66">
        <f t="shared" si="9"/>
        <v>85</v>
      </c>
      <c r="BQ26" s="66">
        <f t="shared" si="10"/>
        <v>85</v>
      </c>
      <c r="BR26" s="66">
        <f t="shared" si="11"/>
        <v>85</v>
      </c>
      <c r="BU26" s="66">
        <f t="shared" si="12"/>
        <v>85</v>
      </c>
      <c r="BV26" s="66">
        <f t="shared" si="13"/>
        <v>85</v>
      </c>
      <c r="BW26" s="66">
        <f t="shared" si="14"/>
        <v>85</v>
      </c>
    </row>
    <row r="27" spans="1:75" ht="75" x14ac:dyDescent="0.25">
      <c r="A27" s="174">
        <f t="shared" si="7"/>
        <v>24</v>
      </c>
      <c r="B27" s="66">
        <f>IF(LEN(D27)&gt;0,VLOOKUP(D27,'1. Lists'!$E$3:$J$52,6,FALSE),"")</f>
        <v>15</v>
      </c>
      <c r="C27" s="66" t="str">
        <f>IF(LEN(D27)&gt;0,VLOOKUP(D27,'1. Lists'!$E$3:$F$52,2,FALSE),"")</f>
        <v>Administration &amp; Community Services</v>
      </c>
      <c r="D27" s="120" t="s">
        <v>249</v>
      </c>
      <c r="E27" s="121"/>
      <c r="F27" s="65" t="str">
        <f>IF(E27&gt;0,VLOOKUP(E27,'2. Top Layer'!$A:$C,3,FALSE),"")</f>
        <v/>
      </c>
      <c r="G27" s="65" t="str">
        <f>IF(E27&gt;0,VLOOKUP(E27,'2. Top Layer'!$A:$T,17,FALSE),"")</f>
        <v/>
      </c>
      <c r="H27" s="66">
        <f>IF(LEN(I27)&gt;0,VLOOKUP(I27,'1. Lists'!$T:$U,2,FALSE),"")</f>
        <v>37</v>
      </c>
      <c r="I27" s="122" t="s">
        <v>430</v>
      </c>
      <c r="J27" s="123"/>
      <c r="K27" s="66">
        <f>IF(LEN(L27)&gt;0,VLOOKUP(L27,'1. Lists'!$AK:$AL,2,FALSE),"")</f>
        <v>3</v>
      </c>
      <c r="L27" s="124" t="s">
        <v>153</v>
      </c>
      <c r="M27" s="70">
        <f>IF(LEN(N27)&gt;0,VLOOKUP(N27,'1. Lists'!$AN:$AQ,4,FALSE),"")</f>
        <v>3</v>
      </c>
      <c r="N27" s="125" t="s">
        <v>383</v>
      </c>
      <c r="O27" s="66">
        <f>IF(LEN(P27)&gt;0,VLOOKUP(P27,'1. Lists'!$AA:$AC,3,FALSE),"")</f>
        <v>2</v>
      </c>
      <c r="P27" s="126" t="s">
        <v>39</v>
      </c>
      <c r="Q27" s="73">
        <f>IF(LEN(R27)&gt;0,VLOOKUP(R27,'1. Lists'!$W:$Y,3,FALSE),"")</f>
        <v>1</v>
      </c>
      <c r="R27" s="127" t="s">
        <v>169</v>
      </c>
      <c r="S27" s="73">
        <f>IF(LEN(T27)&gt;0,VLOOKUP(T27,'1. Lists'!$AH:$AI,2,FALSE),"")</f>
        <v>17</v>
      </c>
      <c r="T27" s="128" t="s">
        <v>402</v>
      </c>
      <c r="U27" s="76">
        <f>IF(LEN(V27)&gt;0,VLOOKUP(V27,'1. Lists'!$AE:$AF,2,FALSE),"")</f>
        <v>10</v>
      </c>
      <c r="V27" s="129" t="s">
        <v>354</v>
      </c>
      <c r="W27" s="130"/>
      <c r="X27" s="131" t="str">
        <f>IF(W27&gt;0,VLOOKUP($W27,'3. Capital'!$A:$J,4,FALSE),"")</f>
        <v/>
      </c>
      <c r="Y27" s="78" t="str">
        <f>IF(W27&gt;0,VLOOKUP($W27,'3. Capital'!$A:$J,10,FALSE),"")</f>
        <v/>
      </c>
      <c r="Z27" s="132" t="s">
        <v>498</v>
      </c>
      <c r="AA27" s="132" t="s">
        <v>499</v>
      </c>
      <c r="AB27" s="66">
        <f>IF(LEN(AC27)&gt;0,VLOOKUP(AC27,'1. Lists'!$AV$3:$AX$7,3,FALSE),"")</f>
        <v>2</v>
      </c>
      <c r="AC27" s="133" t="s">
        <v>13</v>
      </c>
      <c r="AD27" s="66">
        <f>IF(LEN(AE27)&gt;0,VLOOKUP(AE27,'1. Lists'!$AZ$3:$BB$7,3,FALSE),"")</f>
        <v>2</v>
      </c>
      <c r="AE27" s="122" t="s">
        <v>9</v>
      </c>
      <c r="AF27" s="123"/>
      <c r="AG27" s="123"/>
      <c r="AH27" s="66">
        <f>IF(LEN(AI27)&gt;0,VLOOKUP(AI27,'1. Lists'!$BD$3:$BF$15,3,FALSE),"")</f>
        <v>3</v>
      </c>
      <c r="AI27" s="127" t="s">
        <v>338</v>
      </c>
      <c r="AJ27" s="134" t="s">
        <v>68</v>
      </c>
      <c r="AK27" s="135" t="s">
        <v>461</v>
      </c>
      <c r="AL27" s="125" t="s">
        <v>417</v>
      </c>
      <c r="AM27" s="136">
        <v>1</v>
      </c>
      <c r="AN27" s="123"/>
      <c r="AO27" s="137" t="s">
        <v>602</v>
      </c>
      <c r="AP27" s="137" t="s">
        <v>603</v>
      </c>
      <c r="AQ27" s="123"/>
      <c r="AR27" s="123"/>
      <c r="AS27" s="123"/>
      <c r="AT27" s="123"/>
      <c r="AU27" s="135" t="s">
        <v>460</v>
      </c>
      <c r="AV27" s="80" t="str">
        <f>IF(LEN(AW27)&gt;0,VLOOKUP(AW27,'1. Lists'!$BQ:$BR,2,FALSE),"")</f>
        <v>CO</v>
      </c>
      <c r="AW27" s="133" t="s">
        <v>12</v>
      </c>
      <c r="AX27" s="80">
        <f>IF(LEN(AY27)&gt;0,VLOOKUP(AY27,'1. Lists'!$BU$3:$BW$5,3,FALSE),"")</f>
        <v>3</v>
      </c>
      <c r="AY27" s="138" t="s">
        <v>83</v>
      </c>
      <c r="AZ27" s="139">
        <v>1</v>
      </c>
      <c r="BA27" s="82">
        <f t="shared" si="8"/>
        <v>1</v>
      </c>
      <c r="BC27" s="141">
        <v>0</v>
      </c>
      <c r="BD27" s="141">
        <v>0</v>
      </c>
      <c r="BE27" s="141">
        <v>1</v>
      </c>
      <c r="BF27" s="141">
        <v>0</v>
      </c>
      <c r="BG27" s="141">
        <v>0</v>
      </c>
      <c r="BH27" s="141">
        <v>0</v>
      </c>
      <c r="BI27" s="141">
        <v>0</v>
      </c>
      <c r="BJ27" s="141">
        <v>0</v>
      </c>
      <c r="BK27" s="141">
        <v>0</v>
      </c>
      <c r="BL27" s="141">
        <v>0</v>
      </c>
      <c r="BM27" s="141">
        <v>0</v>
      </c>
      <c r="BN27" s="141">
        <v>0</v>
      </c>
      <c r="BP27" s="66">
        <f t="shared" si="9"/>
        <v>1</v>
      </c>
      <c r="BQ27" s="66">
        <f t="shared" si="10"/>
        <v>1</v>
      </c>
      <c r="BR27" s="66">
        <f t="shared" si="11"/>
        <v>1</v>
      </c>
      <c r="BS27" s="66">
        <v>0</v>
      </c>
      <c r="BU27" s="66">
        <f t="shared" si="12"/>
        <v>1</v>
      </c>
      <c r="BV27" s="66">
        <f t="shared" si="13"/>
        <v>1</v>
      </c>
      <c r="BW27" s="66">
        <f t="shared" si="14"/>
        <v>1</v>
      </c>
    </row>
    <row r="28" spans="1:75" ht="75" x14ac:dyDescent="0.25">
      <c r="A28" s="174">
        <f t="shared" si="7"/>
        <v>25</v>
      </c>
      <c r="B28" s="66">
        <f>IF(LEN(D28)&gt;0,VLOOKUP(D28,'1. Lists'!$E$3:$J$52,6,FALSE),"")</f>
        <v>15</v>
      </c>
      <c r="C28" s="66" t="str">
        <f>IF(LEN(D28)&gt;0,VLOOKUP(D28,'1. Lists'!$E$3:$F$52,2,FALSE),"")</f>
        <v>Administration &amp; Community Services</v>
      </c>
      <c r="D28" s="120" t="s">
        <v>249</v>
      </c>
      <c r="E28" s="121"/>
      <c r="F28" s="65" t="str">
        <f>IF(E28&gt;0,VLOOKUP(E28,'2. Top Layer'!$A:$C,3,FALSE),"")</f>
        <v/>
      </c>
      <c r="G28" s="65" t="str">
        <f>IF(E28&gt;0,VLOOKUP(E28,'2. Top Layer'!$A:$T,17,FALSE),"")</f>
        <v/>
      </c>
      <c r="H28" s="66">
        <f>IF(LEN(I28)&gt;0,VLOOKUP(I28,'1. Lists'!$T:$U,2,FALSE),"")</f>
        <v>37</v>
      </c>
      <c r="I28" s="122" t="s">
        <v>430</v>
      </c>
      <c r="J28" s="123"/>
      <c r="K28" s="66">
        <f>IF(LEN(L28)&gt;0,VLOOKUP(L28,'1. Lists'!$AK:$AL,2,FALSE),"")</f>
        <v>3</v>
      </c>
      <c r="L28" s="124" t="s">
        <v>153</v>
      </c>
      <c r="M28" s="70">
        <f>IF(LEN(N28)&gt;0,VLOOKUP(N28,'1. Lists'!$AN:$AQ,4,FALSE),"")</f>
        <v>3</v>
      </c>
      <c r="N28" s="125" t="s">
        <v>383</v>
      </c>
      <c r="O28" s="66">
        <f>IF(LEN(P28)&gt;0,VLOOKUP(P28,'1. Lists'!$AA:$AC,3,FALSE),"")</f>
        <v>2</v>
      </c>
      <c r="P28" s="126" t="s">
        <v>39</v>
      </c>
      <c r="Q28" s="73">
        <f>IF(LEN(R28)&gt;0,VLOOKUP(R28,'1. Lists'!$W:$Y,3,FALSE),"")</f>
        <v>1</v>
      </c>
      <c r="R28" s="127" t="s">
        <v>169</v>
      </c>
      <c r="S28" s="73">
        <f>IF(LEN(T28)&gt;0,VLOOKUP(T28,'1. Lists'!$AH:$AI,2,FALSE),"")</f>
        <v>17</v>
      </c>
      <c r="T28" s="128" t="s">
        <v>402</v>
      </c>
      <c r="U28" s="76">
        <f>IF(LEN(V28)&gt;0,VLOOKUP(V28,'1. Lists'!$AE:$AF,2,FALSE),"")</f>
        <v>10</v>
      </c>
      <c r="V28" s="129" t="s">
        <v>354</v>
      </c>
      <c r="W28" s="130"/>
      <c r="X28" s="131" t="str">
        <f>IF(W28&gt;0,VLOOKUP($W28,'3. Capital'!$A:$J,4,FALSE),"")</f>
        <v/>
      </c>
      <c r="Y28" s="78" t="str">
        <f>IF(W28&gt;0,VLOOKUP($W28,'3. Capital'!$A:$J,10,FALSE),"")</f>
        <v/>
      </c>
      <c r="Z28" s="132" t="s">
        <v>500</v>
      </c>
      <c r="AA28" s="132" t="s">
        <v>501</v>
      </c>
      <c r="AB28" s="66">
        <f>IF(LEN(AC28)&gt;0,VLOOKUP(AC28,'1. Lists'!$AV$3:$AX$7,3,FALSE),"")</f>
        <v>4</v>
      </c>
      <c r="AC28" s="133" t="s">
        <v>52</v>
      </c>
      <c r="AD28" s="66">
        <f>IF(LEN(AE28)&gt;0,VLOOKUP(AE28,'1. Lists'!$AZ$3:$BB$7,3,FALSE),"")</f>
        <v>2</v>
      </c>
      <c r="AE28" s="122" t="s">
        <v>9</v>
      </c>
      <c r="AF28" s="123"/>
      <c r="AG28" s="123"/>
      <c r="AH28" s="66">
        <f>IF(LEN(AI28)&gt;0,VLOOKUP(AI28,'1. Lists'!$BD$3:$BF$15,3,FALSE),"")</f>
        <v>3</v>
      </c>
      <c r="AI28" s="127" t="s">
        <v>338</v>
      </c>
      <c r="AJ28" s="134" t="s">
        <v>68</v>
      </c>
      <c r="AK28" s="135" t="s">
        <v>461</v>
      </c>
      <c r="AL28" s="125" t="s">
        <v>417</v>
      </c>
      <c r="AM28" s="136">
        <v>20</v>
      </c>
      <c r="AN28" s="123"/>
      <c r="AO28" s="137" t="s">
        <v>604</v>
      </c>
      <c r="AP28" s="137" t="s">
        <v>605</v>
      </c>
      <c r="AQ28" s="123"/>
      <c r="AR28" s="123"/>
      <c r="AS28" s="123"/>
      <c r="AT28" s="123"/>
      <c r="AU28" s="135" t="s">
        <v>460</v>
      </c>
      <c r="AV28" s="80" t="str">
        <f>IF(LEN(AW28)&gt;0,VLOOKUP(AW28,'1. Lists'!$BQ:$BR,2,FALSE),"")</f>
        <v>ACC</v>
      </c>
      <c r="AW28" s="133" t="s">
        <v>14</v>
      </c>
      <c r="AX28" s="80">
        <f>IF(LEN(AY28)&gt;0,VLOOKUP(AY28,'1. Lists'!$BU$3:$BW$5,3,FALSE),"")</f>
        <v>3</v>
      </c>
      <c r="AY28" s="138" t="s">
        <v>83</v>
      </c>
      <c r="AZ28" s="139">
        <v>8</v>
      </c>
      <c r="BA28" s="82">
        <f t="shared" si="8"/>
        <v>8</v>
      </c>
      <c r="BC28" s="141">
        <v>0</v>
      </c>
      <c r="BD28" s="141">
        <v>0</v>
      </c>
      <c r="BE28" s="141">
        <v>2</v>
      </c>
      <c r="BF28" s="141">
        <v>0</v>
      </c>
      <c r="BG28" s="141">
        <v>0</v>
      </c>
      <c r="BH28" s="141">
        <v>2</v>
      </c>
      <c r="BI28" s="141">
        <v>0</v>
      </c>
      <c r="BJ28" s="141">
        <v>0</v>
      </c>
      <c r="BK28" s="141">
        <v>2</v>
      </c>
      <c r="BL28" s="141">
        <v>0</v>
      </c>
      <c r="BM28" s="141">
        <v>0</v>
      </c>
      <c r="BN28" s="141">
        <v>2</v>
      </c>
      <c r="BP28" s="66">
        <f t="shared" si="9"/>
        <v>2</v>
      </c>
      <c r="BQ28" s="66">
        <f t="shared" si="10"/>
        <v>8</v>
      </c>
      <c r="BR28" s="66">
        <f t="shared" si="11"/>
        <v>2</v>
      </c>
      <c r="BS28" s="66">
        <v>0</v>
      </c>
      <c r="BU28" s="66">
        <f t="shared" si="12"/>
        <v>2</v>
      </c>
      <c r="BV28" s="66">
        <f t="shared" si="13"/>
        <v>2</v>
      </c>
      <c r="BW28" s="66">
        <f t="shared" si="14"/>
        <v>2</v>
      </c>
    </row>
    <row r="29" spans="1:75" ht="75" x14ac:dyDescent="0.25">
      <c r="A29" s="174">
        <f t="shared" si="7"/>
        <v>26</v>
      </c>
      <c r="B29" s="66">
        <f>IF(LEN(D29)&gt;0,VLOOKUP(D29,'1. Lists'!$E$3:$J$52,6,FALSE),"")</f>
        <v>15</v>
      </c>
      <c r="C29" s="66" t="str">
        <f>IF(LEN(D29)&gt;0,VLOOKUP(D29,'1. Lists'!$E$3:$F$52,2,FALSE),"")</f>
        <v>Administration &amp; Community Services</v>
      </c>
      <c r="D29" s="120" t="s">
        <v>249</v>
      </c>
      <c r="E29" s="121"/>
      <c r="F29" s="65" t="str">
        <f>IF(E29&gt;0,VLOOKUP(E29,'2. Top Layer'!$A:$C,3,FALSE),"")</f>
        <v/>
      </c>
      <c r="G29" s="65" t="str">
        <f>IF(E29&gt;0,VLOOKUP(E29,'2. Top Layer'!$A:$T,17,FALSE),"")</f>
        <v/>
      </c>
      <c r="H29" s="66">
        <f>IF(LEN(I29)&gt;0,VLOOKUP(I29,'1. Lists'!$T:$U,2,FALSE),"")</f>
        <v>37</v>
      </c>
      <c r="I29" s="122" t="s">
        <v>430</v>
      </c>
      <c r="J29" s="123"/>
      <c r="K29" s="66">
        <f>IF(LEN(L29)&gt;0,VLOOKUP(L29,'1. Lists'!$AK:$AL,2,FALSE),"")</f>
        <v>3</v>
      </c>
      <c r="L29" s="124" t="s">
        <v>153</v>
      </c>
      <c r="M29" s="70">
        <f>IF(LEN(N29)&gt;0,VLOOKUP(N29,'1. Lists'!$AN:$AQ,4,FALSE),"")</f>
        <v>3</v>
      </c>
      <c r="N29" s="125" t="s">
        <v>383</v>
      </c>
      <c r="O29" s="66">
        <f>IF(LEN(P29)&gt;0,VLOOKUP(P29,'1. Lists'!$AA:$AC,3,FALSE),"")</f>
        <v>2</v>
      </c>
      <c r="P29" s="126" t="s">
        <v>39</v>
      </c>
      <c r="Q29" s="73">
        <f>IF(LEN(R29)&gt;0,VLOOKUP(R29,'1. Lists'!$W:$Y,3,FALSE),"")</f>
        <v>1</v>
      </c>
      <c r="R29" s="127" t="s">
        <v>169</v>
      </c>
      <c r="S29" s="73">
        <f>IF(LEN(T29)&gt;0,VLOOKUP(T29,'1. Lists'!$AH:$AI,2,FALSE),"")</f>
        <v>17</v>
      </c>
      <c r="T29" s="128" t="s">
        <v>402</v>
      </c>
      <c r="U29" s="76">
        <f>IF(LEN(V29)&gt;0,VLOOKUP(V29,'1. Lists'!$AE:$AF,2,FALSE),"")</f>
        <v>10</v>
      </c>
      <c r="V29" s="129" t="s">
        <v>354</v>
      </c>
      <c r="W29" s="130"/>
      <c r="X29" s="131" t="str">
        <f>IF(W29&gt;0,VLOOKUP($W29,'3. Capital'!$A:$J,4,FALSE),"")</f>
        <v/>
      </c>
      <c r="Y29" s="78" t="str">
        <f>IF(W29&gt;0,VLOOKUP($W29,'3. Capital'!$A:$J,10,FALSE),"")</f>
        <v/>
      </c>
      <c r="Z29" s="132" t="s">
        <v>502</v>
      </c>
      <c r="AA29" s="132" t="s">
        <v>450</v>
      </c>
      <c r="AB29" s="66">
        <f>IF(LEN(AC29)&gt;0,VLOOKUP(AC29,'1. Lists'!$AV$3:$AX$7,3,FALSE),"")</f>
        <v>2</v>
      </c>
      <c r="AC29" s="133" t="s">
        <v>13</v>
      </c>
      <c r="AD29" s="66">
        <f>IF(LEN(AE29)&gt;0,VLOOKUP(AE29,'1. Lists'!$AZ$3:$BB$7,3,FALSE),"")</f>
        <v>2</v>
      </c>
      <c r="AE29" s="122" t="s">
        <v>9</v>
      </c>
      <c r="AF29" s="123"/>
      <c r="AG29" s="123"/>
      <c r="AH29" s="66">
        <f>IF(LEN(AI29)&gt;0,VLOOKUP(AI29,'1. Lists'!$BD$3:$BF$15,3,FALSE),"")</f>
        <v>3</v>
      </c>
      <c r="AI29" s="127" t="s">
        <v>338</v>
      </c>
      <c r="AJ29" s="134" t="s">
        <v>68</v>
      </c>
      <c r="AK29" s="135" t="s">
        <v>461</v>
      </c>
      <c r="AL29" s="125" t="s">
        <v>417</v>
      </c>
      <c r="AM29" s="136">
        <v>2</v>
      </c>
      <c r="AN29" s="123"/>
      <c r="AO29" s="137" t="s">
        <v>606</v>
      </c>
      <c r="AP29" s="137" t="s">
        <v>607</v>
      </c>
      <c r="AQ29" s="123"/>
      <c r="AR29" s="123"/>
      <c r="AS29" s="123"/>
      <c r="AT29" s="123"/>
      <c r="AU29" s="135" t="s">
        <v>460</v>
      </c>
      <c r="AV29" s="80" t="str">
        <f>IF(LEN(AW29)&gt;0,VLOOKUP(AW29,'1. Lists'!$BQ:$BR,2,FALSE),"")</f>
        <v>ACC</v>
      </c>
      <c r="AW29" s="133" t="s">
        <v>14</v>
      </c>
      <c r="AX29" s="80">
        <f>IF(LEN(AY29)&gt;0,VLOOKUP(AY29,'1. Lists'!$BU$3:$BW$5,3,FALSE),"")</f>
        <v>3</v>
      </c>
      <c r="AY29" s="138" t="s">
        <v>83</v>
      </c>
      <c r="AZ29" s="139">
        <v>2</v>
      </c>
      <c r="BA29" s="82">
        <f t="shared" si="8"/>
        <v>2</v>
      </c>
      <c r="BC29" s="141">
        <v>0</v>
      </c>
      <c r="BD29" s="141">
        <v>0</v>
      </c>
      <c r="BE29" s="141">
        <v>0</v>
      </c>
      <c r="BF29" s="141">
        <v>0</v>
      </c>
      <c r="BG29" s="141">
        <v>0</v>
      </c>
      <c r="BH29" s="141">
        <v>1</v>
      </c>
      <c r="BI29" s="141">
        <v>0</v>
      </c>
      <c r="BJ29" s="141">
        <v>0</v>
      </c>
      <c r="BK29" s="141">
        <v>0</v>
      </c>
      <c r="BL29" s="141">
        <v>0</v>
      </c>
      <c r="BM29" s="141">
        <v>0</v>
      </c>
      <c r="BN29" s="141">
        <v>1</v>
      </c>
      <c r="BP29" s="66">
        <f t="shared" si="9"/>
        <v>1</v>
      </c>
      <c r="BQ29" s="66">
        <f t="shared" si="10"/>
        <v>2</v>
      </c>
      <c r="BR29" s="66">
        <f t="shared" si="11"/>
        <v>1</v>
      </c>
      <c r="BS29" s="66">
        <v>0</v>
      </c>
      <c r="BU29" s="66">
        <f t="shared" si="12"/>
        <v>1</v>
      </c>
      <c r="BV29" s="66">
        <f t="shared" si="13"/>
        <v>1</v>
      </c>
      <c r="BW29" s="66">
        <f t="shared" si="14"/>
        <v>1</v>
      </c>
    </row>
    <row r="30" spans="1:75" ht="75" x14ac:dyDescent="0.25">
      <c r="A30" s="174">
        <f t="shared" si="7"/>
        <v>27</v>
      </c>
      <c r="B30" s="66">
        <f>IF(LEN(D30)&gt;0,VLOOKUP(D30,'1. Lists'!$E$3:$J$52,6,FALSE),"")</f>
        <v>15</v>
      </c>
      <c r="C30" s="66" t="str">
        <f>IF(LEN(D30)&gt;0,VLOOKUP(D30,'1. Lists'!$E$3:$F$52,2,FALSE),"")</f>
        <v>Administration &amp; Community Services</v>
      </c>
      <c r="D30" s="120" t="s">
        <v>249</v>
      </c>
      <c r="E30" s="121"/>
      <c r="F30" s="65" t="str">
        <f>IF(E30&gt;0,VLOOKUP(E30,'2. Top Layer'!$A:$C,3,FALSE),"")</f>
        <v/>
      </c>
      <c r="G30" s="65" t="str">
        <f>IF(E30&gt;0,VLOOKUP(E30,'2. Top Layer'!$A:$T,17,FALSE),"")</f>
        <v/>
      </c>
      <c r="H30" s="66">
        <f>IF(LEN(I30)&gt;0,VLOOKUP(I30,'1. Lists'!$T:$U,2,FALSE),"")</f>
        <v>37</v>
      </c>
      <c r="I30" s="122" t="s">
        <v>430</v>
      </c>
      <c r="J30" s="123"/>
      <c r="K30" s="66">
        <f>IF(LEN(L30)&gt;0,VLOOKUP(L30,'1. Lists'!$AK:$AL,2,FALSE),"")</f>
        <v>9</v>
      </c>
      <c r="L30" s="124" t="s">
        <v>159</v>
      </c>
      <c r="M30" s="70">
        <f>IF(LEN(N30)&gt;0,VLOOKUP(N30,'1. Lists'!$AN:$AQ,4,FALSE),"")</f>
        <v>2</v>
      </c>
      <c r="N30" s="125" t="s">
        <v>382</v>
      </c>
      <c r="O30" s="66">
        <f>IF(LEN(P30)&gt;0,VLOOKUP(P30,'1. Lists'!$AA:$AC,3,FALSE),"")</f>
        <v>5</v>
      </c>
      <c r="P30" s="126" t="s">
        <v>42</v>
      </c>
      <c r="Q30" s="73">
        <f>IF(LEN(R30)&gt;0,VLOOKUP(R30,'1. Lists'!$W:$Y,3,FALSE),"")</f>
        <v>1</v>
      </c>
      <c r="R30" s="127" t="s">
        <v>169</v>
      </c>
      <c r="S30" s="73">
        <f>IF(LEN(T30)&gt;0,VLOOKUP(T30,'1. Lists'!$AH:$AI,2,FALSE),"")</f>
        <v>17</v>
      </c>
      <c r="T30" s="128" t="s">
        <v>402</v>
      </c>
      <c r="U30" s="76">
        <f>IF(LEN(V30)&gt;0,VLOOKUP(V30,'1. Lists'!$AE:$AF,2,FALSE),"")</f>
        <v>11</v>
      </c>
      <c r="V30" s="129" t="s">
        <v>355</v>
      </c>
      <c r="W30" s="130"/>
      <c r="X30" s="131" t="str">
        <f>IF(W30&gt;0,VLOOKUP($W30,'3. Capital'!$A:$J,4,FALSE),"")</f>
        <v/>
      </c>
      <c r="Y30" s="78" t="str">
        <f>IF(W30&gt;0,VLOOKUP($W30,'3. Capital'!$A:$J,10,FALSE),"")</f>
        <v/>
      </c>
      <c r="Z30" s="132" t="s">
        <v>496</v>
      </c>
      <c r="AA30" s="132" t="s">
        <v>466</v>
      </c>
      <c r="AB30" s="66">
        <f>IF(LEN(AC30)&gt;0,VLOOKUP(AC30,'1. Lists'!$AV$3:$AX$7,3,FALSE),"")</f>
        <v>3</v>
      </c>
      <c r="AC30" s="133" t="s">
        <v>4</v>
      </c>
      <c r="AD30" s="66">
        <f>IF(LEN(AE30)&gt;0,VLOOKUP(AE30,'1. Lists'!$AZ$3:$BB$7,3,FALSE),"")</f>
        <v>2</v>
      </c>
      <c r="AE30" s="122" t="s">
        <v>9</v>
      </c>
      <c r="AF30" s="123"/>
      <c r="AG30" s="123"/>
      <c r="AH30" s="66">
        <f>IF(LEN(AI30)&gt;0,VLOOKUP(AI30,'1. Lists'!$BD$3:$BF$15,3,FALSE),"")</f>
        <v>5</v>
      </c>
      <c r="AI30" s="127" t="s">
        <v>340</v>
      </c>
      <c r="AJ30" s="134" t="s">
        <v>68</v>
      </c>
      <c r="AK30" s="135" t="s">
        <v>461</v>
      </c>
      <c r="AL30" s="125" t="s">
        <v>417</v>
      </c>
      <c r="AM30" s="145">
        <v>1</v>
      </c>
      <c r="AN30" s="123"/>
      <c r="AO30" s="137">
        <v>1</v>
      </c>
      <c r="AP30" s="137" t="s">
        <v>573</v>
      </c>
      <c r="AQ30" s="123"/>
      <c r="AR30" s="123"/>
      <c r="AS30" s="123"/>
      <c r="AT30" s="123"/>
      <c r="AU30" s="135" t="s">
        <v>460</v>
      </c>
      <c r="AV30" s="80" t="str">
        <f>IF(LEN(AW30)&gt;0,VLOOKUP(AW30,'1. Lists'!$BQ:$BR,2,FALSE),"")</f>
        <v>CO</v>
      </c>
      <c r="AW30" s="133" t="s">
        <v>12</v>
      </c>
      <c r="AX30" s="80">
        <f>IF(LEN(AY30)&gt;0,VLOOKUP(AY30,'1. Lists'!$BU$3:$BW$5,3,FALSE),"")</f>
        <v>2</v>
      </c>
      <c r="AY30" s="138" t="s">
        <v>82</v>
      </c>
      <c r="AZ30" s="139">
        <v>100</v>
      </c>
      <c r="BA30" s="82">
        <f t="shared" si="8"/>
        <v>100</v>
      </c>
      <c r="BC30" s="141">
        <v>100</v>
      </c>
      <c r="BD30" s="141">
        <v>100</v>
      </c>
      <c r="BE30" s="141">
        <v>100</v>
      </c>
      <c r="BF30" s="141">
        <v>100</v>
      </c>
      <c r="BG30" s="141">
        <v>100</v>
      </c>
      <c r="BH30" s="141">
        <v>100</v>
      </c>
      <c r="BI30" s="141">
        <v>100</v>
      </c>
      <c r="BJ30" s="141">
        <v>100</v>
      </c>
      <c r="BK30" s="141">
        <v>100</v>
      </c>
      <c r="BL30" s="141">
        <v>100</v>
      </c>
      <c r="BM30" s="141">
        <v>100</v>
      </c>
      <c r="BN30" s="141">
        <v>100</v>
      </c>
      <c r="BP30" s="66">
        <f t="shared" si="9"/>
        <v>100</v>
      </c>
      <c r="BQ30" s="66">
        <f t="shared" si="10"/>
        <v>1200</v>
      </c>
      <c r="BR30" s="66">
        <f t="shared" si="11"/>
        <v>100</v>
      </c>
      <c r="BS30" s="66">
        <v>0</v>
      </c>
      <c r="BU30" s="66">
        <f t="shared" si="12"/>
        <v>100</v>
      </c>
      <c r="BV30" s="66">
        <f t="shared" si="13"/>
        <v>100</v>
      </c>
      <c r="BW30" s="66">
        <f t="shared" si="14"/>
        <v>100</v>
      </c>
    </row>
    <row r="31" spans="1:75" ht="75" x14ac:dyDescent="0.25">
      <c r="A31" s="174">
        <f t="shared" si="7"/>
        <v>28</v>
      </c>
      <c r="B31" s="66">
        <f>IF(LEN(D31)&gt;0,VLOOKUP(D31,'1. Lists'!$E$3:$J$52,6,FALSE),"")</f>
        <v>15</v>
      </c>
      <c r="C31" s="66" t="str">
        <f>IF(LEN(D31)&gt;0,VLOOKUP(D31,'1. Lists'!$E$3:$F$52,2,FALSE),"")</f>
        <v>Administration &amp; Community Services</v>
      </c>
      <c r="D31" s="120" t="s">
        <v>249</v>
      </c>
      <c r="E31" s="121"/>
      <c r="F31" s="65" t="str">
        <f>IF(E31&gt;0,VLOOKUP(E31,'2. Top Layer'!$A:$C,3,FALSE),"")</f>
        <v/>
      </c>
      <c r="G31" s="65" t="str">
        <f>IF(E31&gt;0,VLOOKUP(E31,'2. Top Layer'!$A:$T,17,FALSE),"")</f>
        <v/>
      </c>
      <c r="H31" s="66">
        <f>IF(LEN(I31)&gt;0,VLOOKUP(I31,'1. Lists'!$T:$U,2,FALSE),"")</f>
        <v>64</v>
      </c>
      <c r="I31" s="122" t="s">
        <v>435</v>
      </c>
      <c r="J31" s="123"/>
      <c r="K31" s="66">
        <f>IF(LEN(L31)&gt;0,VLOOKUP(L31,'1. Lists'!$AK:$AL,2,FALSE),"")</f>
        <v>9</v>
      </c>
      <c r="L31" s="124" t="s">
        <v>159</v>
      </c>
      <c r="M31" s="70">
        <f>IF(LEN(N31)&gt;0,VLOOKUP(N31,'1. Lists'!$AN:$AQ,4,FALSE),"")</f>
        <v>2</v>
      </c>
      <c r="N31" s="125" t="s">
        <v>382</v>
      </c>
      <c r="O31" s="66">
        <f>IF(LEN(P31)&gt;0,VLOOKUP(P31,'1. Lists'!$AA:$AC,3,FALSE),"")</f>
        <v>5</v>
      </c>
      <c r="P31" s="134" t="s">
        <v>42</v>
      </c>
      <c r="Q31" s="73">
        <f>IF(LEN(R31)&gt;0,VLOOKUP(R31,'1. Lists'!$W:$Y,3,FALSE),"")</f>
        <v>1</v>
      </c>
      <c r="R31" s="127" t="s">
        <v>169</v>
      </c>
      <c r="S31" s="73">
        <f>IF(LEN(T31)&gt;0,VLOOKUP(T31,'1. Lists'!$AH:$AI,2,FALSE),"")</f>
        <v>11</v>
      </c>
      <c r="T31" s="128" t="s">
        <v>396</v>
      </c>
      <c r="U31" s="76">
        <f>IF(LEN(V31)&gt;0,VLOOKUP(V31,'1. Lists'!$AE:$AF,2,FALSE),"")</f>
        <v>11</v>
      </c>
      <c r="V31" s="129" t="s">
        <v>355</v>
      </c>
      <c r="W31" s="130"/>
      <c r="X31" s="131" t="str">
        <f>IF(W31&gt;0,VLOOKUP($W31,#REF!,4,FALSE),"")</f>
        <v/>
      </c>
      <c r="Y31" s="78" t="str">
        <f>IF(W31&gt;0,VLOOKUP($W31,#REF!,10,FALSE),"")</f>
        <v/>
      </c>
      <c r="Z31" s="132" t="s">
        <v>791</v>
      </c>
      <c r="AA31" s="132" t="s">
        <v>468</v>
      </c>
      <c r="AB31" s="66">
        <f>IF(LEN(AC31)&gt;0,VLOOKUP(AC31,'1. Lists'!$AV$3:$AX$7,3,FALSE),"")</f>
        <v>2</v>
      </c>
      <c r="AC31" s="133" t="s">
        <v>13</v>
      </c>
      <c r="AD31" s="66">
        <f>IF(LEN(AE31)&gt;0,VLOOKUP(AE31,'1. Lists'!$AZ$3:$BB$7,3,FALSE),"")</f>
        <v>2</v>
      </c>
      <c r="AE31" s="122" t="s">
        <v>9</v>
      </c>
      <c r="AF31" s="123"/>
      <c r="AG31" s="123"/>
      <c r="AH31" s="66">
        <f>IF(LEN(AI31)&gt;0,VLOOKUP(AI31,'1. Lists'!$BD$3:$BF$15,3,FALSE),"")</f>
        <v>5</v>
      </c>
      <c r="AI31" s="127" t="s">
        <v>340</v>
      </c>
      <c r="AJ31" s="134" t="s">
        <v>68</v>
      </c>
      <c r="AK31" s="135" t="s">
        <v>461</v>
      </c>
      <c r="AL31" s="125" t="s">
        <v>417</v>
      </c>
      <c r="AM31" s="136">
        <v>10</v>
      </c>
      <c r="AN31" s="123"/>
      <c r="AO31" s="136" t="s">
        <v>601</v>
      </c>
      <c r="AP31" s="137" t="s">
        <v>790</v>
      </c>
      <c r="AQ31" s="123"/>
      <c r="AR31" s="123"/>
      <c r="AS31" s="123"/>
      <c r="AT31" s="123"/>
      <c r="AU31" s="135" t="s">
        <v>460</v>
      </c>
      <c r="AV31" s="80" t="str">
        <f>IF(LEN(AW31)&gt;0,VLOOKUP(AW31,'1. Lists'!$BQ:$BR,2,FALSE),"")</f>
        <v>ACC</v>
      </c>
      <c r="AW31" s="120" t="s">
        <v>14</v>
      </c>
      <c r="AX31" s="80">
        <f>IF(LEN(AY31)&gt;0,VLOOKUP(AY31,'1. Lists'!$BU$3:$BW$5,3,FALSE),"")</f>
        <v>3</v>
      </c>
      <c r="AY31" s="138" t="s">
        <v>83</v>
      </c>
      <c r="AZ31" s="139">
        <v>12</v>
      </c>
      <c r="BA31" s="82">
        <f t="shared" si="8"/>
        <v>12</v>
      </c>
      <c r="BC31" s="141">
        <v>1</v>
      </c>
      <c r="BD31" s="141">
        <v>1</v>
      </c>
      <c r="BE31" s="141">
        <v>1</v>
      </c>
      <c r="BF31" s="141">
        <v>1</v>
      </c>
      <c r="BG31" s="141">
        <v>1</v>
      </c>
      <c r="BH31" s="141">
        <v>1</v>
      </c>
      <c r="BI31" s="141">
        <v>1</v>
      </c>
      <c r="BJ31" s="141">
        <v>1</v>
      </c>
      <c r="BK31" s="141">
        <v>1</v>
      </c>
      <c r="BL31" s="141">
        <v>1</v>
      </c>
      <c r="BM31" s="141">
        <v>1</v>
      </c>
      <c r="BN31" s="141">
        <v>1</v>
      </c>
      <c r="BP31" s="66">
        <f t="shared" si="9"/>
        <v>1</v>
      </c>
      <c r="BQ31" s="66">
        <f t="shared" si="10"/>
        <v>12</v>
      </c>
      <c r="BR31" s="66">
        <f t="shared" si="11"/>
        <v>1</v>
      </c>
      <c r="BS31" s="66">
        <v>0</v>
      </c>
      <c r="BU31" s="66">
        <f t="shared" si="12"/>
        <v>1</v>
      </c>
      <c r="BV31" s="66">
        <f t="shared" si="13"/>
        <v>1</v>
      </c>
      <c r="BW31" s="66">
        <f t="shared" si="14"/>
        <v>1</v>
      </c>
    </row>
    <row r="32" spans="1:75" ht="75" x14ac:dyDescent="0.25">
      <c r="A32" s="174">
        <f t="shared" si="7"/>
        <v>29</v>
      </c>
      <c r="B32" s="66">
        <f>IF(LEN(D32)&gt;0,VLOOKUP(D32,'1. Lists'!$E$3:$J$52,6,FALSE),"")</f>
        <v>15</v>
      </c>
      <c r="C32" s="66" t="str">
        <f>IF(LEN(D32)&gt;0,VLOOKUP(D32,'1. Lists'!$E$3:$F$52,2,FALSE),"")</f>
        <v>Administration &amp; Community Services</v>
      </c>
      <c r="D32" s="120" t="s">
        <v>249</v>
      </c>
      <c r="E32" s="121"/>
      <c r="F32" s="65"/>
      <c r="H32" s="66">
        <f>IF(LEN(I32)&gt;0,VLOOKUP(I32,'1. Lists'!$T:$U,2,FALSE),"")</f>
        <v>67</v>
      </c>
      <c r="I32" s="122" t="s">
        <v>437</v>
      </c>
      <c r="J32" s="123"/>
      <c r="K32" s="66">
        <f>IF(LEN(L32)&gt;0,VLOOKUP(L32,'1. Lists'!$AK:$AL,2,FALSE),"")</f>
        <v>9</v>
      </c>
      <c r="L32" s="124" t="s">
        <v>159</v>
      </c>
      <c r="M32" s="70">
        <f>IF(LEN(N32)&gt;0,VLOOKUP(N32,'1. Lists'!$AN:$AQ,4,FALSE),"")</f>
        <v>2</v>
      </c>
      <c r="N32" s="125" t="s">
        <v>382</v>
      </c>
      <c r="O32" s="66">
        <f>IF(LEN(P32)&gt;0,VLOOKUP(P32,'1. Lists'!$AA:$AC,3,FALSE),"")</f>
        <v>4</v>
      </c>
      <c r="P32" s="134" t="s">
        <v>41</v>
      </c>
      <c r="Q32" s="73">
        <f>IF(LEN(R32)&gt;0,VLOOKUP(R32,'1. Lists'!$W:$Y,3,FALSE),"")</f>
        <v>1</v>
      </c>
      <c r="R32" s="127" t="s">
        <v>169</v>
      </c>
      <c r="S32" s="73">
        <f>IF(LEN(T32)&gt;0,VLOOKUP(T32,'1. Lists'!$AH:$AI,2,FALSE),"")</f>
        <v>11</v>
      </c>
      <c r="T32" s="128" t="s">
        <v>396</v>
      </c>
      <c r="U32" s="76">
        <f>IF(LEN(V32)&gt;0,VLOOKUP(V32,'1. Lists'!$AE:$AF,2,FALSE),"")</f>
        <v>11</v>
      </c>
      <c r="V32" s="129" t="s">
        <v>355</v>
      </c>
      <c r="W32" s="130"/>
      <c r="X32" s="131"/>
      <c r="Z32" s="132" t="s">
        <v>792</v>
      </c>
      <c r="AA32" s="132" t="s">
        <v>739</v>
      </c>
      <c r="AB32" s="66">
        <f>IF(LEN(AC32)&gt;0,VLOOKUP(AC32,'1. Lists'!$AV$3:$AX$7,3,FALSE),"")</f>
        <v>2</v>
      </c>
      <c r="AC32" s="133" t="s">
        <v>13</v>
      </c>
      <c r="AD32" s="66">
        <f>IF(LEN(AE32)&gt;0,VLOOKUP(AE32,'1. Lists'!$AZ$3:$BB$7,3,FALSE),"")</f>
        <v>2</v>
      </c>
      <c r="AE32" s="122" t="s">
        <v>9</v>
      </c>
      <c r="AF32" s="123"/>
      <c r="AG32" s="123"/>
      <c r="AH32" s="66">
        <f>IF(LEN(AI32)&gt;0,VLOOKUP(AI32,'1. Lists'!$BD$3:$BF$15,3,FALSE),"")</f>
        <v>5</v>
      </c>
      <c r="AI32" s="127" t="s">
        <v>340</v>
      </c>
      <c r="AJ32" s="134" t="s">
        <v>68</v>
      </c>
      <c r="AK32" s="135" t="s">
        <v>461</v>
      </c>
      <c r="AL32" s="125" t="s">
        <v>417</v>
      </c>
      <c r="AM32" s="145" t="s">
        <v>762</v>
      </c>
      <c r="AN32" s="123"/>
      <c r="AO32" s="136" t="s">
        <v>565</v>
      </c>
      <c r="AP32" s="137" t="s">
        <v>790</v>
      </c>
      <c r="AQ32" s="123"/>
      <c r="AR32" s="123"/>
      <c r="AS32" s="123"/>
      <c r="AT32" s="123"/>
      <c r="AU32" s="135" t="s">
        <v>460</v>
      </c>
      <c r="AV32" s="80" t="str">
        <f>IF(LEN(AW32)&gt;0,VLOOKUP(AW32,'1. Lists'!$BQ:$BR,2,FALSE),"")</f>
        <v>ACC</v>
      </c>
      <c r="AW32" s="120" t="s">
        <v>14</v>
      </c>
      <c r="AX32" s="80">
        <f>IF(LEN(AY32)&gt;0,VLOOKUP(AY32,'1. Lists'!$BU$3:$BW$5,3,FALSE),"")</f>
        <v>3</v>
      </c>
      <c r="AY32" s="138" t="s">
        <v>83</v>
      </c>
      <c r="AZ32" s="139">
        <v>4</v>
      </c>
      <c r="BA32" s="82">
        <f t="shared" si="8"/>
        <v>4</v>
      </c>
      <c r="BC32" s="141">
        <v>0</v>
      </c>
      <c r="BD32" s="141">
        <v>0</v>
      </c>
      <c r="BE32" s="141">
        <v>1</v>
      </c>
      <c r="BF32" s="141">
        <v>0</v>
      </c>
      <c r="BG32" s="141">
        <v>0</v>
      </c>
      <c r="BH32" s="141">
        <v>1</v>
      </c>
      <c r="BI32" s="141">
        <v>0</v>
      </c>
      <c r="BJ32" s="141">
        <v>0</v>
      </c>
      <c r="BK32" s="141">
        <v>1</v>
      </c>
      <c r="BL32" s="141">
        <v>0</v>
      </c>
      <c r="BM32" s="141">
        <v>0</v>
      </c>
      <c r="BN32" s="141">
        <v>1</v>
      </c>
      <c r="BP32" s="66">
        <f t="shared" si="9"/>
        <v>1</v>
      </c>
      <c r="BQ32" s="66">
        <f t="shared" si="10"/>
        <v>4</v>
      </c>
      <c r="BR32" s="66">
        <f t="shared" si="11"/>
        <v>1</v>
      </c>
      <c r="BU32" s="66">
        <f t="shared" si="12"/>
        <v>1</v>
      </c>
      <c r="BV32" s="66">
        <f t="shared" si="13"/>
        <v>1</v>
      </c>
      <c r="BW32" s="66">
        <f t="shared" si="14"/>
        <v>1</v>
      </c>
    </row>
    <row r="33" spans="1:75" ht="75" x14ac:dyDescent="0.25">
      <c r="A33" s="174">
        <f t="shared" si="7"/>
        <v>30</v>
      </c>
      <c r="B33" s="66">
        <f>IF(LEN(D33)&gt;0,VLOOKUP(D33,'1. Lists'!$E$3:$J$52,6,FALSE),"")</f>
        <v>15</v>
      </c>
      <c r="C33" s="66" t="str">
        <f>IF(LEN(D33)&gt;0,VLOOKUP(D33,'1. Lists'!$E$3:$F$52,2,FALSE),"")</f>
        <v>Administration &amp; Community Services</v>
      </c>
      <c r="D33" s="120" t="s">
        <v>249</v>
      </c>
      <c r="E33" s="121"/>
      <c r="F33" s="65"/>
      <c r="H33" s="66">
        <f>IF(LEN(I33)&gt;0,VLOOKUP(I33,'1. Lists'!$T:$U,2,FALSE),"")</f>
        <v>67</v>
      </c>
      <c r="I33" s="122" t="s">
        <v>437</v>
      </c>
      <c r="J33" s="123"/>
      <c r="K33" s="66">
        <f>IF(LEN(L33)&gt;0,VLOOKUP(L33,'1. Lists'!$AK:$AL,2,FALSE),"")</f>
        <v>9</v>
      </c>
      <c r="L33" s="124" t="s">
        <v>159</v>
      </c>
      <c r="M33" s="70">
        <f>IF(LEN(N33)&gt;0,VLOOKUP(N33,'1. Lists'!$AN:$AQ,4,FALSE),"")</f>
        <v>2</v>
      </c>
      <c r="N33" s="125" t="s">
        <v>382</v>
      </c>
      <c r="O33" s="66">
        <f>IF(LEN(P33)&gt;0,VLOOKUP(P33,'1. Lists'!$AA:$AC,3,FALSE),"")</f>
        <v>4</v>
      </c>
      <c r="P33" s="134" t="s">
        <v>41</v>
      </c>
      <c r="Q33" s="73">
        <f>IF(LEN(R33)&gt;0,VLOOKUP(R33,'1. Lists'!$W:$Y,3,FALSE),"")</f>
        <v>1</v>
      </c>
      <c r="R33" s="127" t="s">
        <v>169</v>
      </c>
      <c r="S33" s="73">
        <f>IF(LEN(T33)&gt;0,VLOOKUP(T33,'1. Lists'!$AH:$AI,2,FALSE),"")</f>
        <v>11</v>
      </c>
      <c r="T33" s="128" t="s">
        <v>396</v>
      </c>
      <c r="U33" s="76">
        <f>IF(LEN(V33)&gt;0,VLOOKUP(V33,'1. Lists'!$AE:$AF,2,FALSE),"")</f>
        <v>11</v>
      </c>
      <c r="V33" s="129" t="s">
        <v>355</v>
      </c>
      <c r="W33" s="130"/>
      <c r="X33" s="131"/>
      <c r="Z33" s="132" t="s">
        <v>793</v>
      </c>
      <c r="AA33" s="132" t="s">
        <v>794</v>
      </c>
      <c r="AB33" s="66">
        <f>IF(LEN(AC33)&gt;0,VLOOKUP(AC33,'1. Lists'!$AV$3:$AX$7,3,FALSE),"")</f>
        <v>2</v>
      </c>
      <c r="AC33" s="133" t="s">
        <v>13</v>
      </c>
      <c r="AD33" s="66">
        <f>IF(LEN(AE33)&gt;0,VLOOKUP(AE33,'1. Lists'!$AZ$3:$BB$7,3,FALSE),"")</f>
        <v>2</v>
      </c>
      <c r="AE33" s="122" t="s">
        <v>9</v>
      </c>
      <c r="AF33" s="123"/>
      <c r="AG33" s="123"/>
      <c r="AH33" s="66">
        <f>IF(LEN(AI33)&gt;0,VLOOKUP(AI33,'1. Lists'!$BD$3:$BF$15,3,FALSE),"")</f>
        <v>5</v>
      </c>
      <c r="AI33" s="127" t="s">
        <v>340</v>
      </c>
      <c r="AJ33" s="134" t="s">
        <v>68</v>
      </c>
      <c r="AK33" s="135" t="s">
        <v>461</v>
      </c>
      <c r="AL33" s="125" t="s">
        <v>417</v>
      </c>
      <c r="AM33" s="145" t="s">
        <v>762</v>
      </c>
      <c r="AN33" s="123"/>
      <c r="AO33" s="136" t="s">
        <v>795</v>
      </c>
      <c r="AP33" s="137" t="s">
        <v>790</v>
      </c>
      <c r="AQ33" s="123"/>
      <c r="AR33" s="123"/>
      <c r="AS33" s="123"/>
      <c r="AT33" s="123"/>
      <c r="AU33" s="135" t="s">
        <v>460</v>
      </c>
      <c r="AV33" s="80" t="str">
        <f>IF(LEN(AW33)&gt;0,VLOOKUP(AW33,'1. Lists'!$BQ:$BR,2,FALSE),"")</f>
        <v>ACC</v>
      </c>
      <c r="AW33" s="120" t="s">
        <v>14</v>
      </c>
      <c r="AX33" s="80">
        <f>IF(LEN(AY33)&gt;0,VLOOKUP(AY33,'1. Lists'!$BU$3:$BW$5,3,FALSE),"")</f>
        <v>3</v>
      </c>
      <c r="AY33" s="138" t="s">
        <v>83</v>
      </c>
      <c r="AZ33" s="139">
        <v>12</v>
      </c>
      <c r="BA33" s="82">
        <f t="shared" si="8"/>
        <v>12</v>
      </c>
      <c r="BC33" s="141">
        <v>1</v>
      </c>
      <c r="BD33" s="141">
        <v>1</v>
      </c>
      <c r="BE33" s="141">
        <v>1</v>
      </c>
      <c r="BF33" s="141">
        <v>1</v>
      </c>
      <c r="BG33" s="141">
        <v>1</v>
      </c>
      <c r="BH33" s="141">
        <v>1</v>
      </c>
      <c r="BI33" s="141">
        <v>1</v>
      </c>
      <c r="BJ33" s="141">
        <v>1</v>
      </c>
      <c r="BK33" s="141">
        <v>1</v>
      </c>
      <c r="BL33" s="141">
        <v>1</v>
      </c>
      <c r="BM33" s="141">
        <v>1</v>
      </c>
      <c r="BN33" s="141">
        <v>1</v>
      </c>
      <c r="BP33" s="66">
        <f t="shared" si="9"/>
        <v>1</v>
      </c>
      <c r="BQ33" s="66">
        <f t="shared" si="10"/>
        <v>12</v>
      </c>
      <c r="BR33" s="66">
        <f t="shared" si="11"/>
        <v>1</v>
      </c>
      <c r="BU33" s="66">
        <f t="shared" si="12"/>
        <v>1</v>
      </c>
      <c r="BV33" s="66">
        <f t="shared" si="13"/>
        <v>1</v>
      </c>
      <c r="BW33" s="66">
        <f t="shared" si="14"/>
        <v>1</v>
      </c>
    </row>
    <row r="34" spans="1:75" ht="75" x14ac:dyDescent="0.25">
      <c r="A34" s="174">
        <f t="shared" si="7"/>
        <v>31</v>
      </c>
      <c r="B34" s="66">
        <f>IF(LEN(D34)&gt;0,VLOOKUP(D34,'1. Lists'!$E$3:$J$52,6,FALSE),"")</f>
        <v>15</v>
      </c>
      <c r="C34" s="66" t="str">
        <f>IF(LEN(D34)&gt;0,VLOOKUP(D34,'1. Lists'!$E$3:$F$52,2,FALSE),"")</f>
        <v>Administration &amp; Community Services</v>
      </c>
      <c r="D34" s="120" t="s">
        <v>249</v>
      </c>
      <c r="E34" s="121"/>
      <c r="F34" s="65"/>
      <c r="H34" s="66">
        <f>IF(LEN(I34)&gt;0,VLOOKUP(I34,'1. Lists'!$T:$U,2,FALSE),"")</f>
        <v>67</v>
      </c>
      <c r="I34" s="122" t="s">
        <v>437</v>
      </c>
      <c r="J34" s="123"/>
      <c r="K34" s="66">
        <f>IF(LEN(L34)&gt;0,VLOOKUP(L34,'1. Lists'!$AK:$AL,2,FALSE),"")</f>
        <v>9</v>
      </c>
      <c r="L34" s="124" t="s">
        <v>159</v>
      </c>
      <c r="M34" s="70">
        <f>IF(LEN(N34)&gt;0,VLOOKUP(N34,'1. Lists'!$AN:$AQ,4,FALSE),"")</f>
        <v>2</v>
      </c>
      <c r="N34" s="125" t="s">
        <v>382</v>
      </c>
      <c r="O34" s="66">
        <f>IF(LEN(P34)&gt;0,VLOOKUP(P34,'1. Lists'!$AA:$AC,3,FALSE),"")</f>
        <v>4</v>
      </c>
      <c r="P34" s="134" t="s">
        <v>41</v>
      </c>
      <c r="Q34" s="73">
        <f>IF(LEN(R34)&gt;0,VLOOKUP(R34,'1. Lists'!$W:$Y,3,FALSE),"")</f>
        <v>1</v>
      </c>
      <c r="R34" s="127" t="s">
        <v>169</v>
      </c>
      <c r="S34" s="73">
        <f>IF(LEN(T34)&gt;0,VLOOKUP(T34,'1. Lists'!$AH:$AI,2,FALSE),"")</f>
        <v>11</v>
      </c>
      <c r="T34" s="128" t="s">
        <v>396</v>
      </c>
      <c r="U34" s="76">
        <f>IF(LEN(V34)&gt;0,VLOOKUP(V34,'1. Lists'!$AE:$AF,2,FALSE),"")</f>
        <v>11</v>
      </c>
      <c r="V34" s="129" t="s">
        <v>355</v>
      </c>
      <c r="W34" s="130"/>
      <c r="X34" s="131"/>
      <c r="Z34" s="132" t="s">
        <v>796</v>
      </c>
      <c r="AA34" s="132" t="s">
        <v>797</v>
      </c>
      <c r="AB34" s="66">
        <f>IF(LEN(AC34)&gt;0,VLOOKUP(AC34,'1. Lists'!$AV$3:$AX$7,3,FALSE),"")</f>
        <v>3</v>
      </c>
      <c r="AC34" s="133" t="s">
        <v>4</v>
      </c>
      <c r="AD34" s="66">
        <f>IF(LEN(AE34)&gt;0,VLOOKUP(AE34,'1. Lists'!$AZ$3:$BB$7,3,FALSE),"")</f>
        <v>2</v>
      </c>
      <c r="AE34" s="122" t="s">
        <v>9</v>
      </c>
      <c r="AF34" s="123"/>
      <c r="AG34" s="123"/>
      <c r="AH34" s="66">
        <f>IF(LEN(AI34)&gt;0,VLOOKUP(AI34,'1. Lists'!$BD$3:$BF$15,3,FALSE),"")</f>
        <v>5</v>
      </c>
      <c r="AI34" s="127" t="s">
        <v>340</v>
      </c>
      <c r="AJ34" s="134" t="s">
        <v>68</v>
      </c>
      <c r="AK34" s="135" t="s">
        <v>461</v>
      </c>
      <c r="AL34" s="125" t="s">
        <v>417</v>
      </c>
      <c r="AM34" s="145" t="s">
        <v>762</v>
      </c>
      <c r="AN34" s="123"/>
      <c r="AO34" s="145">
        <v>0.85</v>
      </c>
      <c r="AP34" s="137" t="s">
        <v>798</v>
      </c>
      <c r="AQ34" s="123"/>
      <c r="AR34" s="123"/>
      <c r="AS34" s="123"/>
      <c r="AT34" s="123"/>
      <c r="AU34" s="135" t="s">
        <v>460</v>
      </c>
      <c r="AV34" s="80" t="str">
        <f>IF(LEN(AW34)&gt;0,VLOOKUP(AW34,'1. Lists'!$BQ:$BR,2,FALSE),"")</f>
        <v>LAST</v>
      </c>
      <c r="AW34" s="120" t="s">
        <v>190</v>
      </c>
      <c r="AX34" s="80">
        <f>IF(LEN(AY34)&gt;0,VLOOKUP(AY34,'1. Lists'!$BU$3:$BW$5,3,FALSE),"")</f>
        <v>2</v>
      </c>
      <c r="AY34" s="138" t="s">
        <v>82</v>
      </c>
      <c r="AZ34" s="139">
        <v>85</v>
      </c>
      <c r="BA34" s="82">
        <f t="shared" si="8"/>
        <v>85</v>
      </c>
      <c r="BC34" s="141">
        <v>0</v>
      </c>
      <c r="BD34" s="141">
        <v>0</v>
      </c>
      <c r="BE34" s="141">
        <v>0</v>
      </c>
      <c r="BF34" s="141">
        <v>0</v>
      </c>
      <c r="BG34" s="141">
        <v>0</v>
      </c>
      <c r="BH34" s="141">
        <v>0</v>
      </c>
      <c r="BI34" s="141">
        <v>0</v>
      </c>
      <c r="BJ34" s="141">
        <v>0</v>
      </c>
      <c r="BK34" s="141">
        <v>0</v>
      </c>
      <c r="BL34" s="141">
        <v>0</v>
      </c>
      <c r="BM34" s="141">
        <v>0</v>
      </c>
      <c r="BN34" s="141">
        <v>85</v>
      </c>
      <c r="BP34" s="66">
        <f t="shared" si="9"/>
        <v>85</v>
      </c>
      <c r="BQ34" s="66">
        <f t="shared" si="10"/>
        <v>85</v>
      </c>
      <c r="BR34" s="66">
        <f t="shared" si="11"/>
        <v>85</v>
      </c>
      <c r="BU34" s="66">
        <f t="shared" si="12"/>
        <v>85</v>
      </c>
      <c r="BV34" s="66">
        <f t="shared" si="13"/>
        <v>85</v>
      </c>
      <c r="BW34" s="66">
        <f t="shared" si="14"/>
        <v>85</v>
      </c>
    </row>
    <row r="35" spans="1:75" ht="75" x14ac:dyDescent="0.25">
      <c r="A35" s="174">
        <f t="shared" si="7"/>
        <v>32</v>
      </c>
      <c r="B35" s="66">
        <f>IF(LEN(D35)&gt;0,VLOOKUP(D35,'1. Lists'!$E$3:$J$52,6,FALSE),"")</f>
        <v>13</v>
      </c>
      <c r="C35" s="66" t="str">
        <f>IF(LEN(D35)&gt;0,VLOOKUP(D35,'1. Lists'!$E$3:$F$52,2,FALSE),"")</f>
        <v>Administration &amp; Community Services</v>
      </c>
      <c r="D35" s="120" t="s">
        <v>372</v>
      </c>
      <c r="E35" s="121"/>
      <c r="F35" s="65" t="str">
        <f>IF(E35&gt;0,VLOOKUP(E35,'2. Top Layer'!$A:$C,3,FALSE),"")</f>
        <v/>
      </c>
      <c r="G35" s="65" t="str">
        <f>IF(E35&gt;0,VLOOKUP(E35,'2. Top Layer'!$A:$T,17,FALSE),"")</f>
        <v/>
      </c>
      <c r="H35" s="66">
        <f>IF(LEN(I35)&gt;0,VLOOKUP(I35,'1. Lists'!$T:$U,2,FALSE),"")</f>
        <v>123</v>
      </c>
      <c r="I35" s="122" t="s">
        <v>655</v>
      </c>
      <c r="J35" s="123"/>
      <c r="K35" s="66">
        <f>IF(LEN(L35)&gt;0,VLOOKUP(L35,'1. Lists'!$AK:$AL,2,FALSE),"")</f>
        <v>3</v>
      </c>
      <c r="L35" s="124" t="s">
        <v>153</v>
      </c>
      <c r="M35" s="70">
        <f>IF(LEN(N35)&gt;0,VLOOKUP(N35,'1. Lists'!$AN:$AQ,4,FALSE),"")</f>
        <v>3</v>
      </c>
      <c r="N35" s="125" t="s">
        <v>383</v>
      </c>
      <c r="O35" s="66">
        <f>IF(LEN(P35)&gt;0,VLOOKUP(P35,'1. Lists'!$AA:$AC,3,FALSE),"")</f>
        <v>2</v>
      </c>
      <c r="P35" s="126" t="s">
        <v>39</v>
      </c>
      <c r="Q35" s="73">
        <f>IF(LEN(R35)&gt;0,VLOOKUP(R35,'1. Lists'!$W:$Y,3,FALSE),"")</f>
        <v>1</v>
      </c>
      <c r="R35" s="127" t="s">
        <v>169</v>
      </c>
      <c r="S35" s="73">
        <f>IF(LEN(T35)&gt;0,VLOOKUP(T35,'1. Lists'!$AH:$AI,2,FALSE),"")</f>
        <v>17</v>
      </c>
      <c r="T35" s="128" t="s">
        <v>402</v>
      </c>
      <c r="U35" s="76">
        <f>IF(LEN(V35)&gt;0,VLOOKUP(V35,'1. Lists'!$AE:$AF,2,FALSE),"")</f>
        <v>10</v>
      </c>
      <c r="V35" s="129" t="s">
        <v>354</v>
      </c>
      <c r="W35" s="130"/>
      <c r="X35" s="131" t="str">
        <f>IF(W35&gt;0,VLOOKUP($W35,'3. Capital'!$A:$J,4,FALSE),"")</f>
        <v/>
      </c>
      <c r="Y35" s="78" t="str">
        <f>IF(W35&gt;0,VLOOKUP($W35,'3. Capital'!$A:$J,10,FALSE),"")</f>
        <v/>
      </c>
      <c r="Z35" s="132" t="s">
        <v>829</v>
      </c>
      <c r="AA35" s="132" t="s">
        <v>451</v>
      </c>
      <c r="AB35" s="66">
        <f>IF(LEN(AC35)&gt;0,VLOOKUP(AC35,'1. Lists'!$AV$3:$AX$7,3,FALSE),"")</f>
        <v>4</v>
      </c>
      <c r="AC35" s="133" t="s">
        <v>52</v>
      </c>
      <c r="AD35" s="66">
        <f>IF(LEN(AE35)&gt;0,VLOOKUP(AE35,'1. Lists'!$AZ$3:$BB$7,3,FALSE),"")</f>
        <v>2</v>
      </c>
      <c r="AE35" s="122" t="s">
        <v>9</v>
      </c>
      <c r="AF35" s="123"/>
      <c r="AG35" s="123"/>
      <c r="AH35" s="66">
        <f>IF(LEN(AI35)&gt;0,VLOOKUP(AI35,'1. Lists'!$BD$3:$BF$15,3,FALSE),"")</f>
        <v>3</v>
      </c>
      <c r="AI35" s="127" t="s">
        <v>338</v>
      </c>
      <c r="AJ35" s="134" t="s">
        <v>68</v>
      </c>
      <c r="AK35" s="135" t="s">
        <v>461</v>
      </c>
      <c r="AL35" s="125" t="s">
        <v>418</v>
      </c>
      <c r="AM35" s="136">
        <v>4</v>
      </c>
      <c r="AN35" s="123"/>
      <c r="AO35" s="137" t="s">
        <v>565</v>
      </c>
      <c r="AP35" s="137" t="s">
        <v>612</v>
      </c>
      <c r="AQ35" s="123"/>
      <c r="AR35" s="123"/>
      <c r="AS35" s="123"/>
      <c r="AT35" s="123"/>
      <c r="AU35" s="135" t="s">
        <v>460</v>
      </c>
      <c r="AV35" s="80" t="str">
        <f>IF(LEN(AW35)&gt;0,VLOOKUP(AW35,'1. Lists'!$BQ:$BR,2,FALSE),"")</f>
        <v>ACC</v>
      </c>
      <c r="AW35" s="133" t="s">
        <v>14</v>
      </c>
      <c r="AX35" s="80">
        <f>IF(LEN(AY35)&gt;0,VLOOKUP(AY35,'1. Lists'!$BU$3:$BW$5,3,FALSE),"")</f>
        <v>3</v>
      </c>
      <c r="AY35" s="138" t="s">
        <v>83</v>
      </c>
      <c r="AZ35" s="139">
        <v>4</v>
      </c>
      <c r="BA35" s="82">
        <f t="shared" si="8"/>
        <v>4</v>
      </c>
      <c r="BC35" s="141">
        <v>0</v>
      </c>
      <c r="BD35" s="141">
        <v>0</v>
      </c>
      <c r="BE35" s="141">
        <v>1</v>
      </c>
      <c r="BF35" s="141">
        <v>0</v>
      </c>
      <c r="BG35" s="141">
        <v>0</v>
      </c>
      <c r="BH35" s="141">
        <v>1</v>
      </c>
      <c r="BI35" s="141">
        <v>0</v>
      </c>
      <c r="BJ35" s="141">
        <v>0</v>
      </c>
      <c r="BK35" s="141">
        <v>1</v>
      </c>
      <c r="BL35" s="141">
        <v>0</v>
      </c>
      <c r="BM35" s="141">
        <v>0</v>
      </c>
      <c r="BN35" s="141">
        <v>1</v>
      </c>
      <c r="BP35" s="66">
        <f t="shared" si="9"/>
        <v>1</v>
      </c>
      <c r="BQ35" s="66">
        <f t="shared" si="10"/>
        <v>4</v>
      </c>
      <c r="BR35" s="66">
        <f t="shared" si="11"/>
        <v>1</v>
      </c>
      <c r="BS35" s="66">
        <v>0</v>
      </c>
      <c r="BU35" s="66">
        <f t="shared" si="12"/>
        <v>1</v>
      </c>
      <c r="BV35" s="66">
        <f t="shared" si="13"/>
        <v>1</v>
      </c>
      <c r="BW35" s="66">
        <f t="shared" si="14"/>
        <v>1</v>
      </c>
    </row>
    <row r="36" spans="1:75" ht="60" x14ac:dyDescent="0.25">
      <c r="A36" s="174">
        <f t="shared" si="7"/>
        <v>33</v>
      </c>
      <c r="B36" s="66">
        <f>IF(LEN(D36)&gt;0,VLOOKUP(D36,'1. Lists'!$E$3:$J$52,6,FALSE),"")</f>
        <v>13</v>
      </c>
      <c r="C36" s="66" t="str">
        <f>IF(LEN(D36)&gt;0,VLOOKUP(D36,'1. Lists'!$E$3:$F$52,2,FALSE),"")</f>
        <v>Administration &amp; Community Services</v>
      </c>
      <c r="D36" s="120" t="s">
        <v>372</v>
      </c>
      <c r="E36" s="121"/>
      <c r="F36" s="65" t="str">
        <f>IF(E36&gt;0,VLOOKUP(E36,'2. Top Layer'!$A:$C,3,FALSE),"")</f>
        <v/>
      </c>
      <c r="G36" s="65" t="str">
        <f>IF(E36&gt;0,VLOOKUP(E36,'2. Top Layer'!$A:$T,17,FALSE),"")</f>
        <v/>
      </c>
      <c r="H36" s="66">
        <f>IF(LEN(I36)&gt;0,VLOOKUP(I36,'1. Lists'!$T:$U,2,FALSE),"")</f>
        <v>123</v>
      </c>
      <c r="I36" s="122" t="s">
        <v>655</v>
      </c>
      <c r="J36" s="123"/>
      <c r="K36" s="66">
        <f>IF(LEN(L36)&gt;0,VLOOKUP(L36,'1. Lists'!$AK:$AL,2,FALSE),"")</f>
        <v>3</v>
      </c>
      <c r="L36" s="124" t="s">
        <v>153</v>
      </c>
      <c r="M36" s="70">
        <f>IF(LEN(N36)&gt;0,VLOOKUP(N36,'1. Lists'!$AN:$AQ,4,FALSE),"")</f>
        <v>3</v>
      </c>
      <c r="N36" s="125" t="s">
        <v>383</v>
      </c>
      <c r="O36" s="66">
        <f>IF(LEN(P36)&gt;0,VLOOKUP(P36,'1. Lists'!$AA:$AC,3,FALSE),"")</f>
        <v>2</v>
      </c>
      <c r="P36" s="126" t="s">
        <v>39</v>
      </c>
      <c r="Q36" s="73">
        <f>IF(LEN(R36)&gt;0,VLOOKUP(R36,'1. Lists'!$W:$Y,3,FALSE),"")</f>
        <v>1</v>
      </c>
      <c r="R36" s="127" t="s">
        <v>169</v>
      </c>
      <c r="S36" s="73">
        <f>IF(LEN(T36)&gt;0,VLOOKUP(T36,'1. Lists'!$AH:$AI,2,FALSE),"")</f>
        <v>11</v>
      </c>
      <c r="T36" s="128" t="s">
        <v>396</v>
      </c>
      <c r="U36" s="76">
        <f>IF(LEN(V36)&gt;0,VLOOKUP(V36,'1. Lists'!$AE:$AF,2,FALSE),"")</f>
        <v>10</v>
      </c>
      <c r="V36" s="129" t="s">
        <v>354</v>
      </c>
      <c r="W36" s="130"/>
      <c r="X36" s="131" t="str">
        <f>IF(W36&gt;0,VLOOKUP($W36,'3. Capital'!$A:$J,4,FALSE),"")</f>
        <v/>
      </c>
      <c r="Y36" s="78" t="str">
        <f>IF(W36&gt;0,VLOOKUP($W36,'3. Capital'!$A:$J,10,FALSE),"")</f>
        <v/>
      </c>
      <c r="Z36" s="132" t="s">
        <v>507</v>
      </c>
      <c r="AA36" s="132" t="s">
        <v>508</v>
      </c>
      <c r="AB36" s="66">
        <f>IF(LEN(AC36)&gt;0,VLOOKUP(AC36,'1. Lists'!$AV$3:$AX$7,3,FALSE),"")</f>
        <v>2</v>
      </c>
      <c r="AC36" s="133" t="s">
        <v>13</v>
      </c>
      <c r="AD36" s="66">
        <f>IF(LEN(AE36)&gt;0,VLOOKUP(AE36,'1. Lists'!$AZ$3:$BB$7,3,FALSE),"")</f>
        <v>2</v>
      </c>
      <c r="AE36" s="122" t="s">
        <v>9</v>
      </c>
      <c r="AF36" s="123"/>
      <c r="AG36" s="123"/>
      <c r="AH36" s="66">
        <f>IF(LEN(AI36)&gt;0,VLOOKUP(AI36,'1. Lists'!$BD$3:$BF$15,3,FALSE),"")</f>
        <v>3</v>
      </c>
      <c r="AI36" s="127" t="s">
        <v>338</v>
      </c>
      <c r="AJ36" s="134" t="s">
        <v>68</v>
      </c>
      <c r="AK36" s="135" t="s">
        <v>461</v>
      </c>
      <c r="AL36" s="125" t="s">
        <v>418</v>
      </c>
      <c r="AM36" s="136">
        <v>12</v>
      </c>
      <c r="AN36" s="123"/>
      <c r="AO36" s="137" t="s">
        <v>613</v>
      </c>
      <c r="AP36" s="137" t="s">
        <v>614</v>
      </c>
      <c r="AQ36" s="123"/>
      <c r="AR36" s="123"/>
      <c r="AS36" s="123"/>
      <c r="AT36" s="123"/>
      <c r="AU36" s="135" t="s">
        <v>460</v>
      </c>
      <c r="AV36" s="80" t="str">
        <f>IF(LEN(AW36)&gt;0,VLOOKUP(AW36,'1. Lists'!$BQ:$BR,2,FALSE),"")</f>
        <v>ACC</v>
      </c>
      <c r="AW36" s="133" t="s">
        <v>14</v>
      </c>
      <c r="AX36" s="80">
        <f>IF(LEN(AY36)&gt;0,VLOOKUP(AY36,'1. Lists'!$BU$3:$BW$5,3,FALSE),"")</f>
        <v>3</v>
      </c>
      <c r="AY36" s="138" t="s">
        <v>83</v>
      </c>
      <c r="AZ36" s="139">
        <v>10</v>
      </c>
      <c r="BA36" s="82">
        <f t="shared" si="8"/>
        <v>10</v>
      </c>
      <c r="BC36" s="141">
        <v>1</v>
      </c>
      <c r="BD36" s="141">
        <v>1</v>
      </c>
      <c r="BE36" s="141">
        <v>1</v>
      </c>
      <c r="BF36" s="141">
        <v>1</v>
      </c>
      <c r="BG36" s="141">
        <v>1</v>
      </c>
      <c r="BH36" s="141">
        <v>0</v>
      </c>
      <c r="BI36" s="141">
        <v>0</v>
      </c>
      <c r="BJ36" s="141">
        <v>1</v>
      </c>
      <c r="BK36" s="141">
        <v>1</v>
      </c>
      <c r="BL36" s="141">
        <v>1</v>
      </c>
      <c r="BM36" s="141">
        <v>1</v>
      </c>
      <c r="BN36" s="141">
        <v>1</v>
      </c>
      <c r="BP36" s="66">
        <f t="shared" si="9"/>
        <v>1</v>
      </c>
      <c r="BQ36" s="66">
        <f t="shared" si="10"/>
        <v>10</v>
      </c>
      <c r="BR36" s="66">
        <f t="shared" si="11"/>
        <v>1</v>
      </c>
      <c r="BS36" s="66">
        <v>0</v>
      </c>
      <c r="BU36" s="66">
        <f t="shared" si="12"/>
        <v>1</v>
      </c>
      <c r="BV36" s="66">
        <f t="shared" si="13"/>
        <v>1</v>
      </c>
      <c r="BW36" s="66">
        <f t="shared" si="14"/>
        <v>1</v>
      </c>
    </row>
    <row r="37" spans="1:75" ht="75" x14ac:dyDescent="0.25">
      <c r="A37" s="174">
        <f t="shared" si="7"/>
        <v>34</v>
      </c>
      <c r="B37" s="66">
        <f>IF(LEN(D37)&gt;0,VLOOKUP(D37,'1. Lists'!$E$3:$J$52,6,FALSE),"")</f>
        <v>13</v>
      </c>
      <c r="C37" s="66" t="str">
        <f>IF(LEN(D37)&gt;0,VLOOKUP(D37,'1. Lists'!$E$3:$F$52,2,FALSE),"")</f>
        <v>Administration &amp; Community Services</v>
      </c>
      <c r="D37" s="120" t="s">
        <v>372</v>
      </c>
      <c r="E37" s="121"/>
      <c r="F37" s="65" t="str">
        <f>IF(E37&gt;0,VLOOKUP(E37,'2. Top Layer'!$A:$C,3,FALSE),"")</f>
        <v/>
      </c>
      <c r="G37" s="65" t="str">
        <f>IF(E37&gt;0,VLOOKUP(E37,'2. Top Layer'!$A:$T,17,FALSE),"")</f>
        <v/>
      </c>
      <c r="H37" s="66">
        <f>IF(LEN(I37)&gt;0,VLOOKUP(I37,'1. Lists'!$T:$U,2,FALSE),"")</f>
        <v>123</v>
      </c>
      <c r="I37" s="122" t="s">
        <v>655</v>
      </c>
      <c r="J37" s="123"/>
      <c r="K37" s="66">
        <f>IF(LEN(L37)&gt;0,VLOOKUP(L37,'1. Lists'!$AK:$AL,2,FALSE),"")</f>
        <v>3</v>
      </c>
      <c r="L37" s="124" t="s">
        <v>153</v>
      </c>
      <c r="M37" s="70">
        <f>IF(LEN(N37)&gt;0,VLOOKUP(N37,'1. Lists'!$AN:$AQ,4,FALSE),"")</f>
        <v>3</v>
      </c>
      <c r="N37" s="125" t="s">
        <v>383</v>
      </c>
      <c r="O37" s="66">
        <f>IF(LEN(P37)&gt;0,VLOOKUP(P37,'1. Lists'!$AA:$AC,3,FALSE),"")</f>
        <v>2</v>
      </c>
      <c r="P37" s="126" t="s">
        <v>39</v>
      </c>
      <c r="Q37" s="73">
        <f>IF(LEN(R37)&gt;0,VLOOKUP(R37,'1. Lists'!$W:$Y,3,FALSE),"")</f>
        <v>1</v>
      </c>
      <c r="R37" s="127" t="s">
        <v>169</v>
      </c>
      <c r="S37" s="73">
        <f>IF(LEN(T37)&gt;0,VLOOKUP(T37,'1. Lists'!$AH:$AI,2,FALSE),"")</f>
        <v>17</v>
      </c>
      <c r="T37" s="128" t="s">
        <v>402</v>
      </c>
      <c r="U37" s="76">
        <f>IF(LEN(V37)&gt;0,VLOOKUP(V37,'1. Lists'!$AE:$AF,2,FALSE),"")</f>
        <v>10</v>
      </c>
      <c r="V37" s="129" t="s">
        <v>354</v>
      </c>
      <c r="W37" s="130"/>
      <c r="X37" s="131" t="str">
        <f>IF(W37&gt;0,VLOOKUP($W37,'3. Capital'!$A:$J,4,FALSE),"")</f>
        <v/>
      </c>
      <c r="Y37" s="78" t="str">
        <f>IF(W37&gt;0,VLOOKUP($W37,'3. Capital'!$A:$J,10,FALSE),"")</f>
        <v/>
      </c>
      <c r="Z37" s="132" t="s">
        <v>509</v>
      </c>
      <c r="AA37" s="132" t="s">
        <v>510</v>
      </c>
      <c r="AB37" s="66">
        <f>IF(LEN(AC37)&gt;0,VLOOKUP(AC37,'1. Lists'!$AV$3:$AX$7,3,FALSE),"")</f>
        <v>4</v>
      </c>
      <c r="AC37" s="133" t="s">
        <v>52</v>
      </c>
      <c r="AD37" s="66">
        <f>IF(LEN(AE37)&gt;0,VLOOKUP(AE37,'1. Lists'!$AZ$3:$BB$7,3,FALSE),"")</f>
        <v>2</v>
      </c>
      <c r="AE37" s="122" t="s">
        <v>9</v>
      </c>
      <c r="AF37" s="123"/>
      <c r="AG37" s="123"/>
      <c r="AH37" s="66">
        <f>IF(LEN(AI37)&gt;0,VLOOKUP(AI37,'1. Lists'!$BD$3:$BF$15,3,FALSE),"")</f>
        <v>3</v>
      </c>
      <c r="AI37" s="127" t="s">
        <v>338</v>
      </c>
      <c r="AJ37" s="134" t="s">
        <v>68</v>
      </c>
      <c r="AK37" s="135" t="s">
        <v>461</v>
      </c>
      <c r="AL37" s="125" t="s">
        <v>418</v>
      </c>
      <c r="AM37" s="136">
        <v>96</v>
      </c>
      <c r="AN37" s="123"/>
      <c r="AO37" s="137" t="s">
        <v>615</v>
      </c>
      <c r="AP37" s="137" t="s">
        <v>616</v>
      </c>
      <c r="AQ37" s="123"/>
      <c r="AR37" s="123"/>
      <c r="AS37" s="123"/>
      <c r="AT37" s="123"/>
      <c r="AU37" s="135" t="s">
        <v>460</v>
      </c>
      <c r="AV37" s="80" t="str">
        <f>IF(LEN(AW37)&gt;0,VLOOKUP(AW37,'1. Lists'!$BQ:$BR,2,FALSE),"")</f>
        <v>ACC</v>
      </c>
      <c r="AW37" s="133" t="s">
        <v>14</v>
      </c>
      <c r="AX37" s="80">
        <f>IF(LEN(AY37)&gt;0,VLOOKUP(AY37,'1. Lists'!$BU$3:$BW$5,3,FALSE),"")</f>
        <v>3</v>
      </c>
      <c r="AY37" s="138" t="s">
        <v>83</v>
      </c>
      <c r="AZ37" s="139">
        <v>156</v>
      </c>
      <c r="BA37" s="82">
        <f t="shared" si="8"/>
        <v>156</v>
      </c>
      <c r="BC37" s="141">
        <v>25</v>
      </c>
      <c r="BD37" s="141">
        <v>25</v>
      </c>
      <c r="BE37" s="141">
        <v>25</v>
      </c>
      <c r="BF37" s="141">
        <v>25</v>
      </c>
      <c r="BG37" s="141">
        <v>6</v>
      </c>
      <c r="BH37" s="141">
        <v>0</v>
      </c>
      <c r="BI37" s="141">
        <v>0</v>
      </c>
      <c r="BJ37" s="141">
        <v>0</v>
      </c>
      <c r="BK37" s="141">
        <v>0</v>
      </c>
      <c r="BL37" s="141">
        <v>0</v>
      </c>
      <c r="BM37" s="141">
        <v>25</v>
      </c>
      <c r="BN37" s="141">
        <v>25</v>
      </c>
      <c r="BP37" s="66">
        <f t="shared" si="9"/>
        <v>25</v>
      </c>
      <c r="BQ37" s="66">
        <f t="shared" si="10"/>
        <v>156</v>
      </c>
      <c r="BR37" s="66">
        <f t="shared" si="11"/>
        <v>22.285714285714285</v>
      </c>
      <c r="BS37" s="66">
        <v>0</v>
      </c>
      <c r="BU37" s="66">
        <f t="shared" si="12"/>
        <v>22.285714285714285</v>
      </c>
      <c r="BV37" s="66">
        <f t="shared" si="13"/>
        <v>25</v>
      </c>
      <c r="BW37" s="66">
        <f t="shared" si="14"/>
        <v>25</v>
      </c>
    </row>
    <row r="38" spans="1:75" ht="75" x14ac:dyDescent="0.25">
      <c r="A38" s="174">
        <f t="shared" si="7"/>
        <v>35</v>
      </c>
      <c r="B38" s="66">
        <f>IF(LEN(D38)&gt;0,VLOOKUP(D38,'1. Lists'!$E$3:$J$52,6,FALSE),"")</f>
        <v>13</v>
      </c>
      <c r="C38" s="66" t="str">
        <f>IF(LEN(D38)&gt;0,VLOOKUP(D38,'1. Lists'!$E$3:$F$52,2,FALSE),"")</f>
        <v>Administration &amp; Community Services</v>
      </c>
      <c r="D38" s="120" t="s">
        <v>372</v>
      </c>
      <c r="E38" s="121"/>
      <c r="F38" s="65" t="str">
        <f>IF(E38&gt;0,VLOOKUP(E38,'2. Top Layer'!$A:$C,3,FALSE),"")</f>
        <v/>
      </c>
      <c r="G38" s="65" t="str">
        <f>IF(E38&gt;0,VLOOKUP(E38,'2. Top Layer'!$A:$T,17,FALSE),"")</f>
        <v/>
      </c>
      <c r="H38" s="66">
        <f>IF(LEN(I38)&gt;0,VLOOKUP(I38,'1. Lists'!$T:$U,2,FALSE),"")</f>
        <v>123</v>
      </c>
      <c r="I38" s="122" t="s">
        <v>655</v>
      </c>
      <c r="J38" s="123"/>
      <c r="K38" s="66">
        <f>IF(LEN(L38)&gt;0,VLOOKUP(L38,'1. Lists'!$AK:$AL,2,FALSE),"")</f>
        <v>3</v>
      </c>
      <c r="L38" s="124" t="s">
        <v>153</v>
      </c>
      <c r="M38" s="70">
        <f>IF(LEN(N38)&gt;0,VLOOKUP(N38,'1. Lists'!$AN:$AQ,4,FALSE),"")</f>
        <v>3</v>
      </c>
      <c r="N38" s="125" t="s">
        <v>383</v>
      </c>
      <c r="O38" s="66">
        <f>IF(LEN(P38)&gt;0,VLOOKUP(P38,'1. Lists'!$AA:$AC,3,FALSE),"")</f>
        <v>2</v>
      </c>
      <c r="P38" s="126" t="s">
        <v>39</v>
      </c>
      <c r="Q38" s="73">
        <f>IF(LEN(R38)&gt;0,VLOOKUP(R38,'1. Lists'!$W:$Y,3,FALSE),"")</f>
        <v>1</v>
      </c>
      <c r="R38" s="127" t="s">
        <v>169</v>
      </c>
      <c r="S38" s="73">
        <f>IF(LEN(T38)&gt;0,VLOOKUP(T38,'1. Lists'!$AH:$AI,2,FALSE),"")</f>
        <v>17</v>
      </c>
      <c r="T38" s="128" t="s">
        <v>402</v>
      </c>
      <c r="U38" s="76">
        <f>IF(LEN(V38)&gt;0,VLOOKUP(V38,'1. Lists'!$AE:$AF,2,FALSE),"")</f>
        <v>10</v>
      </c>
      <c r="V38" s="129" t="s">
        <v>354</v>
      </c>
      <c r="W38" s="130"/>
      <c r="X38" s="131" t="str">
        <f>IF(W38&gt;0,VLOOKUP($W38,'3. Capital'!$A:$J,4,FALSE),"")</f>
        <v/>
      </c>
      <c r="Y38" s="78" t="str">
        <f>IF(W38&gt;0,VLOOKUP($W38,'3. Capital'!$A:$J,10,FALSE),"")</f>
        <v/>
      </c>
      <c r="Z38" s="132" t="s">
        <v>511</v>
      </c>
      <c r="AA38" s="132" t="s">
        <v>512</v>
      </c>
      <c r="AB38" s="66">
        <f>IF(LEN(AC38)&gt;0,VLOOKUP(AC38,'1. Lists'!$AV$3:$AX$7,3,FALSE),"")</f>
        <v>4</v>
      </c>
      <c r="AC38" s="133" t="s">
        <v>52</v>
      </c>
      <c r="AD38" s="66">
        <f>IF(LEN(AE38)&gt;0,VLOOKUP(AE38,'1. Lists'!$AZ$3:$BB$7,3,FALSE),"")</f>
        <v>2</v>
      </c>
      <c r="AE38" s="122" t="s">
        <v>9</v>
      </c>
      <c r="AF38" s="123"/>
      <c r="AG38" s="123"/>
      <c r="AH38" s="66">
        <f>IF(LEN(AI38)&gt;0,VLOOKUP(AI38,'1. Lists'!$BD$3:$BF$15,3,FALSE),"")</f>
        <v>3</v>
      </c>
      <c r="AI38" s="127" t="s">
        <v>338</v>
      </c>
      <c r="AJ38" s="134" t="s">
        <v>68</v>
      </c>
      <c r="AK38" s="135" t="s">
        <v>461</v>
      </c>
      <c r="AL38" s="125" t="s">
        <v>418</v>
      </c>
      <c r="AM38" s="145">
        <v>0.9</v>
      </c>
      <c r="AN38" s="123"/>
      <c r="AO38" s="137">
        <v>0.9</v>
      </c>
      <c r="AP38" s="137" t="s">
        <v>617</v>
      </c>
      <c r="AQ38" s="123"/>
      <c r="AR38" s="123"/>
      <c r="AS38" s="123"/>
      <c r="AT38" s="123"/>
      <c r="AU38" s="135" t="s">
        <v>460</v>
      </c>
      <c r="AV38" s="80" t="str">
        <f>IF(LEN(AW38)&gt;0,VLOOKUP(AW38,'1. Lists'!$BQ:$BR,2,FALSE),"")</f>
        <v>STD</v>
      </c>
      <c r="AW38" s="133" t="s">
        <v>78</v>
      </c>
      <c r="AX38" s="80">
        <f>IF(LEN(AY38)&gt;0,VLOOKUP(AY38,'1. Lists'!$BU$3:$BW$5,3,FALSE),"")</f>
        <v>2</v>
      </c>
      <c r="AY38" s="138" t="s">
        <v>82</v>
      </c>
      <c r="AZ38" s="139">
        <v>85</v>
      </c>
      <c r="BA38" s="82">
        <f t="shared" si="8"/>
        <v>85</v>
      </c>
      <c r="BC38" s="141">
        <v>85</v>
      </c>
      <c r="BD38" s="141">
        <v>85</v>
      </c>
      <c r="BE38" s="141">
        <v>85</v>
      </c>
      <c r="BF38" s="141">
        <v>85</v>
      </c>
      <c r="BG38" s="141">
        <v>85</v>
      </c>
      <c r="BH38" s="141">
        <v>85</v>
      </c>
      <c r="BI38" s="141">
        <v>85</v>
      </c>
      <c r="BJ38" s="141">
        <v>85</v>
      </c>
      <c r="BK38" s="141">
        <v>85</v>
      </c>
      <c r="BL38" s="141">
        <v>85</v>
      </c>
      <c r="BM38" s="141">
        <v>85</v>
      </c>
      <c r="BN38" s="141">
        <v>85</v>
      </c>
      <c r="BP38" s="66">
        <f t="shared" si="9"/>
        <v>85</v>
      </c>
      <c r="BQ38" s="66">
        <f t="shared" si="10"/>
        <v>1020</v>
      </c>
      <c r="BR38" s="66">
        <f t="shared" si="11"/>
        <v>85</v>
      </c>
      <c r="BS38" s="66">
        <v>0</v>
      </c>
      <c r="BU38" s="66">
        <f t="shared" si="12"/>
        <v>85</v>
      </c>
      <c r="BV38" s="66">
        <f t="shared" si="13"/>
        <v>85</v>
      </c>
      <c r="BW38" s="66">
        <f t="shared" si="14"/>
        <v>85</v>
      </c>
    </row>
    <row r="39" spans="1:75" ht="75" x14ac:dyDescent="0.25">
      <c r="A39" s="174">
        <f t="shared" si="7"/>
        <v>36</v>
      </c>
      <c r="B39" s="66">
        <f>IF(LEN(D39)&gt;0,VLOOKUP(D39,'1. Lists'!$E$3:$J$52,6,FALSE),"")</f>
        <v>13</v>
      </c>
      <c r="C39" s="66" t="str">
        <f>IF(LEN(D39)&gt;0,VLOOKUP(D39,'1. Lists'!$E$3:$F$52,2,FALSE),"")</f>
        <v>Administration &amp; Community Services</v>
      </c>
      <c r="D39" s="120" t="s">
        <v>372</v>
      </c>
      <c r="E39" s="121"/>
      <c r="F39" s="65" t="str">
        <f>IF(E39&gt;0,VLOOKUP(E39,'2. Top Layer'!$A:$C,3,FALSE),"")</f>
        <v/>
      </c>
      <c r="G39" s="65" t="str">
        <f>IF(E39&gt;0,VLOOKUP(E39,'2. Top Layer'!$A:$T,17,FALSE),"")</f>
        <v/>
      </c>
      <c r="H39" s="66">
        <f>IF(LEN(I39)&gt;0,VLOOKUP(I39,'1. Lists'!$T:$U,2,FALSE),"")</f>
        <v>64</v>
      </c>
      <c r="I39" s="122" t="s">
        <v>435</v>
      </c>
      <c r="J39" s="123"/>
      <c r="K39" s="66">
        <f>IF(LEN(L39)&gt;0,VLOOKUP(L39,'1. Lists'!$AK:$AL,2,FALSE),"")</f>
        <v>9</v>
      </c>
      <c r="L39" s="124" t="s">
        <v>159</v>
      </c>
      <c r="M39" s="70">
        <f>IF(LEN(N39)&gt;0,VLOOKUP(N39,'1. Lists'!$AN:$AQ,4,FALSE),"")</f>
        <v>2</v>
      </c>
      <c r="N39" s="125" t="s">
        <v>382</v>
      </c>
      <c r="O39" s="66">
        <f>IF(LEN(P39)&gt;0,VLOOKUP(P39,'1. Lists'!$AA:$AC,3,FALSE),"")</f>
        <v>5</v>
      </c>
      <c r="P39" s="134" t="s">
        <v>42</v>
      </c>
      <c r="Q39" s="73">
        <f>IF(LEN(R39)&gt;0,VLOOKUP(R39,'1. Lists'!$W:$Y,3,FALSE),"")</f>
        <v>1</v>
      </c>
      <c r="R39" s="127" t="s">
        <v>169</v>
      </c>
      <c r="S39" s="73">
        <f>IF(LEN(T39)&gt;0,VLOOKUP(T39,'1. Lists'!$AH:$AI,2,FALSE),"")</f>
        <v>11</v>
      </c>
      <c r="T39" s="128" t="s">
        <v>396</v>
      </c>
      <c r="U39" s="76">
        <f>IF(LEN(V39)&gt;0,VLOOKUP(V39,'1. Lists'!$AE:$AF,2,FALSE),"")</f>
        <v>11</v>
      </c>
      <c r="V39" s="129" t="s">
        <v>355</v>
      </c>
      <c r="W39" s="130"/>
      <c r="X39" s="131" t="str">
        <f>IF(W39&gt;0,VLOOKUP($W39,#REF!,4,FALSE),"")</f>
        <v/>
      </c>
      <c r="Y39" s="78" t="str">
        <f>IF(W39&gt;0,VLOOKUP($W39,#REF!,10,FALSE),"")</f>
        <v/>
      </c>
      <c r="Z39" s="132" t="s">
        <v>791</v>
      </c>
      <c r="AA39" s="132" t="s">
        <v>468</v>
      </c>
      <c r="AB39" s="66">
        <f>IF(LEN(AC39)&gt;0,VLOOKUP(AC39,'1. Lists'!$AV$3:$AX$7,3,FALSE),"")</f>
        <v>2</v>
      </c>
      <c r="AC39" s="133" t="s">
        <v>13</v>
      </c>
      <c r="AD39" s="66">
        <f>IF(LEN(AE39)&gt;0,VLOOKUP(AE39,'1. Lists'!$AZ$3:$BB$7,3,FALSE),"")</f>
        <v>2</v>
      </c>
      <c r="AE39" s="122" t="s">
        <v>9</v>
      </c>
      <c r="AF39" s="123"/>
      <c r="AG39" s="123"/>
      <c r="AH39" s="66">
        <f>IF(LEN(AI39)&gt;0,VLOOKUP(AI39,'1. Lists'!$BD$3:$BF$15,3,FALSE),"")</f>
        <v>5</v>
      </c>
      <c r="AI39" s="127" t="s">
        <v>340</v>
      </c>
      <c r="AJ39" s="134" t="s">
        <v>68</v>
      </c>
      <c r="AK39" s="135" t="s">
        <v>461</v>
      </c>
      <c r="AL39" s="125" t="s">
        <v>418</v>
      </c>
      <c r="AM39" s="136">
        <v>10</v>
      </c>
      <c r="AN39" s="123"/>
      <c r="AO39" s="136" t="s">
        <v>601</v>
      </c>
      <c r="AP39" s="137" t="s">
        <v>790</v>
      </c>
      <c r="AQ39" s="123"/>
      <c r="AR39" s="123"/>
      <c r="AS39" s="123"/>
      <c r="AT39" s="123"/>
      <c r="AU39" s="135" t="s">
        <v>460</v>
      </c>
      <c r="AV39" s="80" t="str">
        <f>IF(LEN(AW39)&gt;0,VLOOKUP(AW39,'1. Lists'!$BQ:$BR,2,FALSE),"")</f>
        <v>ACC</v>
      </c>
      <c r="AW39" s="120" t="s">
        <v>14</v>
      </c>
      <c r="AX39" s="80">
        <f>IF(LEN(AY39)&gt;0,VLOOKUP(AY39,'1. Lists'!$BU$3:$BW$5,3,FALSE),"")</f>
        <v>3</v>
      </c>
      <c r="AY39" s="138" t="s">
        <v>83</v>
      </c>
      <c r="AZ39" s="139">
        <v>12</v>
      </c>
      <c r="BA39" s="82">
        <f t="shared" si="8"/>
        <v>12</v>
      </c>
      <c r="BC39" s="141">
        <v>1</v>
      </c>
      <c r="BD39" s="141">
        <v>1</v>
      </c>
      <c r="BE39" s="141">
        <v>1</v>
      </c>
      <c r="BF39" s="141">
        <v>1</v>
      </c>
      <c r="BG39" s="141">
        <v>1</v>
      </c>
      <c r="BH39" s="141">
        <v>1</v>
      </c>
      <c r="BI39" s="141">
        <v>1</v>
      </c>
      <c r="BJ39" s="141">
        <v>1</v>
      </c>
      <c r="BK39" s="141">
        <v>1</v>
      </c>
      <c r="BL39" s="141">
        <v>1</v>
      </c>
      <c r="BM39" s="141">
        <v>1</v>
      </c>
      <c r="BN39" s="141">
        <v>1</v>
      </c>
      <c r="BP39" s="66">
        <f t="shared" si="9"/>
        <v>1</v>
      </c>
      <c r="BQ39" s="66">
        <f t="shared" si="10"/>
        <v>12</v>
      </c>
      <c r="BR39" s="66">
        <f t="shared" si="11"/>
        <v>1</v>
      </c>
      <c r="BS39" s="66">
        <v>0</v>
      </c>
      <c r="BU39" s="66">
        <f t="shared" si="12"/>
        <v>1</v>
      </c>
      <c r="BV39" s="66">
        <f t="shared" si="13"/>
        <v>1</v>
      </c>
      <c r="BW39" s="66">
        <f t="shared" si="14"/>
        <v>1</v>
      </c>
    </row>
    <row r="40" spans="1:75" ht="75" x14ac:dyDescent="0.25">
      <c r="A40" s="174">
        <f t="shared" si="7"/>
        <v>37</v>
      </c>
      <c r="B40" s="66">
        <f>IF(LEN(D40)&gt;0,VLOOKUP(D40,'1. Lists'!$E$3:$J$52,6,FALSE),"")</f>
        <v>13</v>
      </c>
      <c r="C40" s="66" t="str">
        <f>IF(LEN(D40)&gt;0,VLOOKUP(D40,'1. Lists'!$E$3:$F$52,2,FALSE),"")</f>
        <v>Administration &amp; Community Services</v>
      </c>
      <c r="D40" s="120" t="s">
        <v>372</v>
      </c>
      <c r="E40" s="121"/>
      <c r="F40" s="65"/>
      <c r="H40" s="66">
        <f>IF(LEN(I40)&gt;0,VLOOKUP(I40,'1. Lists'!$T:$U,2,FALSE),"")</f>
        <v>67</v>
      </c>
      <c r="I40" s="122" t="s">
        <v>437</v>
      </c>
      <c r="J40" s="123"/>
      <c r="K40" s="66">
        <f>IF(LEN(L40)&gt;0,VLOOKUP(L40,'1. Lists'!$AK:$AL,2,FALSE),"")</f>
        <v>9</v>
      </c>
      <c r="L40" s="124" t="s">
        <v>159</v>
      </c>
      <c r="M40" s="70">
        <f>IF(LEN(N40)&gt;0,VLOOKUP(N40,'1. Lists'!$AN:$AQ,4,FALSE),"")</f>
        <v>2</v>
      </c>
      <c r="N40" s="125" t="s">
        <v>382</v>
      </c>
      <c r="O40" s="66">
        <f>IF(LEN(P40)&gt;0,VLOOKUP(P40,'1. Lists'!$AA:$AC,3,FALSE),"")</f>
        <v>4</v>
      </c>
      <c r="P40" s="134" t="s">
        <v>41</v>
      </c>
      <c r="Q40" s="73">
        <f>IF(LEN(R40)&gt;0,VLOOKUP(R40,'1. Lists'!$W:$Y,3,FALSE),"")</f>
        <v>1</v>
      </c>
      <c r="R40" s="127" t="s">
        <v>169</v>
      </c>
      <c r="S40" s="73">
        <f>IF(LEN(T40)&gt;0,VLOOKUP(T40,'1. Lists'!$AH:$AI,2,FALSE),"")</f>
        <v>11</v>
      </c>
      <c r="T40" s="128" t="s">
        <v>396</v>
      </c>
      <c r="U40" s="76">
        <f>IF(LEN(V40)&gt;0,VLOOKUP(V40,'1. Lists'!$AE:$AF,2,FALSE),"")</f>
        <v>11</v>
      </c>
      <c r="V40" s="129" t="s">
        <v>355</v>
      </c>
      <c r="W40" s="130"/>
      <c r="X40" s="131"/>
      <c r="Z40" s="132" t="s">
        <v>792</v>
      </c>
      <c r="AA40" s="132" t="s">
        <v>739</v>
      </c>
      <c r="AB40" s="66">
        <f>IF(LEN(AC40)&gt;0,VLOOKUP(AC40,'1. Lists'!$AV$3:$AX$7,3,FALSE),"")</f>
        <v>2</v>
      </c>
      <c r="AC40" s="133" t="s">
        <v>13</v>
      </c>
      <c r="AD40" s="66">
        <f>IF(LEN(AE40)&gt;0,VLOOKUP(AE40,'1. Lists'!$AZ$3:$BB$7,3,FALSE),"")</f>
        <v>2</v>
      </c>
      <c r="AE40" s="122" t="s">
        <v>9</v>
      </c>
      <c r="AF40" s="123"/>
      <c r="AG40" s="123"/>
      <c r="AH40" s="66">
        <f>IF(LEN(AI40)&gt;0,VLOOKUP(AI40,'1. Lists'!$BD$3:$BF$15,3,FALSE),"")</f>
        <v>5</v>
      </c>
      <c r="AI40" s="127" t="s">
        <v>340</v>
      </c>
      <c r="AJ40" s="134" t="s">
        <v>68</v>
      </c>
      <c r="AK40" s="135" t="s">
        <v>461</v>
      </c>
      <c r="AL40" s="125" t="s">
        <v>418</v>
      </c>
      <c r="AM40" s="145" t="s">
        <v>762</v>
      </c>
      <c r="AN40" s="123"/>
      <c r="AO40" s="136" t="s">
        <v>565</v>
      </c>
      <c r="AP40" s="137" t="s">
        <v>790</v>
      </c>
      <c r="AQ40" s="123"/>
      <c r="AR40" s="123"/>
      <c r="AS40" s="123"/>
      <c r="AT40" s="123"/>
      <c r="AU40" s="135" t="s">
        <v>460</v>
      </c>
      <c r="AV40" s="80" t="str">
        <f>IF(LEN(AW40)&gt;0,VLOOKUP(AW40,'1. Lists'!$BQ:$BR,2,FALSE),"")</f>
        <v>ACC</v>
      </c>
      <c r="AW40" s="120" t="s">
        <v>14</v>
      </c>
      <c r="AX40" s="80">
        <f>IF(LEN(AY40)&gt;0,VLOOKUP(AY40,'1. Lists'!$BU$3:$BW$5,3,FALSE),"")</f>
        <v>3</v>
      </c>
      <c r="AY40" s="138" t="s">
        <v>83</v>
      </c>
      <c r="AZ40" s="139">
        <v>4</v>
      </c>
      <c r="BA40" s="82">
        <f t="shared" si="8"/>
        <v>4</v>
      </c>
      <c r="BC40" s="141">
        <v>0</v>
      </c>
      <c r="BD40" s="141">
        <v>0</v>
      </c>
      <c r="BE40" s="141">
        <v>1</v>
      </c>
      <c r="BF40" s="141">
        <v>0</v>
      </c>
      <c r="BG40" s="141">
        <v>0</v>
      </c>
      <c r="BH40" s="141">
        <v>1</v>
      </c>
      <c r="BI40" s="141">
        <v>0</v>
      </c>
      <c r="BJ40" s="141">
        <v>0</v>
      </c>
      <c r="BK40" s="141">
        <v>1</v>
      </c>
      <c r="BL40" s="141">
        <v>0</v>
      </c>
      <c r="BM40" s="141">
        <v>0</v>
      </c>
      <c r="BN40" s="141">
        <v>1</v>
      </c>
      <c r="BP40" s="66">
        <f t="shared" si="9"/>
        <v>1</v>
      </c>
      <c r="BQ40" s="66">
        <f t="shared" si="10"/>
        <v>4</v>
      </c>
      <c r="BR40" s="66">
        <f t="shared" si="11"/>
        <v>1</v>
      </c>
      <c r="BU40" s="66">
        <f t="shared" si="12"/>
        <v>1</v>
      </c>
      <c r="BV40" s="66">
        <f t="shared" si="13"/>
        <v>1</v>
      </c>
      <c r="BW40" s="66">
        <f t="shared" si="14"/>
        <v>1</v>
      </c>
    </row>
    <row r="41" spans="1:75" ht="75" x14ac:dyDescent="0.25">
      <c r="A41" s="174">
        <f t="shared" si="7"/>
        <v>38</v>
      </c>
      <c r="B41" s="66">
        <f>IF(LEN(D41)&gt;0,VLOOKUP(D41,'1. Lists'!$E$3:$J$52,6,FALSE),"")</f>
        <v>13</v>
      </c>
      <c r="C41" s="66" t="str">
        <f>IF(LEN(D41)&gt;0,VLOOKUP(D41,'1. Lists'!$E$3:$F$52,2,FALSE),"")</f>
        <v>Administration &amp; Community Services</v>
      </c>
      <c r="D41" s="120" t="s">
        <v>372</v>
      </c>
      <c r="E41" s="121"/>
      <c r="F41" s="65"/>
      <c r="H41" s="66">
        <f>IF(LEN(I41)&gt;0,VLOOKUP(I41,'1. Lists'!$T:$U,2,FALSE),"")</f>
        <v>67</v>
      </c>
      <c r="I41" s="122" t="s">
        <v>437</v>
      </c>
      <c r="J41" s="123"/>
      <c r="K41" s="66">
        <f>IF(LEN(L41)&gt;0,VLOOKUP(L41,'1. Lists'!$AK:$AL,2,FALSE),"")</f>
        <v>9</v>
      </c>
      <c r="L41" s="124" t="s">
        <v>159</v>
      </c>
      <c r="M41" s="70">
        <f>IF(LEN(N41)&gt;0,VLOOKUP(N41,'1. Lists'!$AN:$AQ,4,FALSE),"")</f>
        <v>2</v>
      </c>
      <c r="N41" s="125" t="s">
        <v>382</v>
      </c>
      <c r="O41" s="66">
        <f>IF(LEN(P41)&gt;0,VLOOKUP(P41,'1. Lists'!$AA:$AC,3,FALSE),"")</f>
        <v>4</v>
      </c>
      <c r="P41" s="134" t="s">
        <v>41</v>
      </c>
      <c r="Q41" s="73">
        <f>IF(LEN(R41)&gt;0,VLOOKUP(R41,'1. Lists'!$W:$Y,3,FALSE),"")</f>
        <v>1</v>
      </c>
      <c r="R41" s="127" t="s">
        <v>169</v>
      </c>
      <c r="S41" s="73">
        <f>IF(LEN(T41)&gt;0,VLOOKUP(T41,'1. Lists'!$AH:$AI,2,FALSE),"")</f>
        <v>11</v>
      </c>
      <c r="T41" s="128" t="s">
        <v>396</v>
      </c>
      <c r="U41" s="76">
        <f>IF(LEN(V41)&gt;0,VLOOKUP(V41,'1. Lists'!$AE:$AF,2,FALSE),"")</f>
        <v>11</v>
      </c>
      <c r="V41" s="129" t="s">
        <v>355</v>
      </c>
      <c r="W41" s="130"/>
      <c r="X41" s="131"/>
      <c r="Z41" s="132" t="s">
        <v>793</v>
      </c>
      <c r="AA41" s="132" t="s">
        <v>794</v>
      </c>
      <c r="AB41" s="66">
        <f>IF(LEN(AC41)&gt;0,VLOOKUP(AC41,'1. Lists'!$AV$3:$AX$7,3,FALSE),"")</f>
        <v>2</v>
      </c>
      <c r="AC41" s="133" t="s">
        <v>13</v>
      </c>
      <c r="AD41" s="66">
        <f>IF(LEN(AE41)&gt;0,VLOOKUP(AE41,'1. Lists'!$AZ$3:$BB$7,3,FALSE),"")</f>
        <v>2</v>
      </c>
      <c r="AE41" s="122" t="s">
        <v>9</v>
      </c>
      <c r="AF41" s="123"/>
      <c r="AG41" s="123"/>
      <c r="AH41" s="66">
        <f>IF(LEN(AI41)&gt;0,VLOOKUP(AI41,'1. Lists'!$BD$3:$BF$15,3,FALSE),"")</f>
        <v>5</v>
      </c>
      <c r="AI41" s="127" t="s">
        <v>340</v>
      </c>
      <c r="AJ41" s="134" t="s">
        <v>68</v>
      </c>
      <c r="AK41" s="135" t="s">
        <v>461</v>
      </c>
      <c r="AL41" s="125" t="s">
        <v>418</v>
      </c>
      <c r="AM41" s="145" t="s">
        <v>762</v>
      </c>
      <c r="AN41" s="123"/>
      <c r="AO41" s="136" t="s">
        <v>795</v>
      </c>
      <c r="AP41" s="137" t="s">
        <v>790</v>
      </c>
      <c r="AQ41" s="123"/>
      <c r="AR41" s="123"/>
      <c r="AS41" s="123"/>
      <c r="AT41" s="123"/>
      <c r="AU41" s="135" t="s">
        <v>460</v>
      </c>
      <c r="AV41" s="80" t="str">
        <f>IF(LEN(AW41)&gt;0,VLOOKUP(AW41,'1. Lists'!$BQ:$BR,2,FALSE),"")</f>
        <v>ACC</v>
      </c>
      <c r="AW41" s="120" t="s">
        <v>14</v>
      </c>
      <c r="AX41" s="80">
        <f>IF(LEN(AY41)&gt;0,VLOOKUP(AY41,'1. Lists'!$BU$3:$BW$5,3,FALSE),"")</f>
        <v>3</v>
      </c>
      <c r="AY41" s="138" t="s">
        <v>83</v>
      </c>
      <c r="AZ41" s="139">
        <v>12</v>
      </c>
      <c r="BA41" s="82">
        <f t="shared" si="8"/>
        <v>12</v>
      </c>
      <c r="BC41" s="141">
        <v>1</v>
      </c>
      <c r="BD41" s="141">
        <v>1</v>
      </c>
      <c r="BE41" s="141">
        <v>1</v>
      </c>
      <c r="BF41" s="141">
        <v>1</v>
      </c>
      <c r="BG41" s="141">
        <v>1</v>
      </c>
      <c r="BH41" s="141">
        <v>1</v>
      </c>
      <c r="BI41" s="141">
        <v>1</v>
      </c>
      <c r="BJ41" s="141">
        <v>1</v>
      </c>
      <c r="BK41" s="141">
        <v>1</v>
      </c>
      <c r="BL41" s="141">
        <v>1</v>
      </c>
      <c r="BM41" s="141">
        <v>1</v>
      </c>
      <c r="BN41" s="141">
        <v>1</v>
      </c>
      <c r="BP41" s="66">
        <f t="shared" si="9"/>
        <v>1</v>
      </c>
      <c r="BQ41" s="66">
        <f t="shared" si="10"/>
        <v>12</v>
      </c>
      <c r="BR41" s="66">
        <f t="shared" si="11"/>
        <v>1</v>
      </c>
      <c r="BU41" s="66">
        <f t="shared" si="12"/>
        <v>1</v>
      </c>
      <c r="BV41" s="66">
        <f t="shared" si="13"/>
        <v>1</v>
      </c>
      <c r="BW41" s="66">
        <f t="shared" si="14"/>
        <v>1</v>
      </c>
    </row>
    <row r="42" spans="1:75" ht="75" x14ac:dyDescent="0.25">
      <c r="A42" s="174">
        <f t="shared" si="7"/>
        <v>39</v>
      </c>
      <c r="B42" s="66">
        <f>IF(LEN(D42)&gt;0,VLOOKUP(D42,'1. Lists'!$E$3:$J$52,6,FALSE),"")</f>
        <v>13</v>
      </c>
      <c r="C42" s="66" t="str">
        <f>IF(LEN(D42)&gt;0,VLOOKUP(D42,'1. Lists'!$E$3:$F$52,2,FALSE),"")</f>
        <v>Administration &amp; Community Services</v>
      </c>
      <c r="D42" s="120" t="s">
        <v>372</v>
      </c>
      <c r="E42" s="121"/>
      <c r="F42" s="65"/>
      <c r="H42" s="66">
        <f>IF(LEN(I42)&gt;0,VLOOKUP(I42,'1. Lists'!$T:$U,2,FALSE),"")</f>
        <v>67</v>
      </c>
      <c r="I42" s="122" t="s">
        <v>437</v>
      </c>
      <c r="J42" s="123"/>
      <c r="K42" s="66">
        <f>IF(LEN(L42)&gt;0,VLOOKUP(L42,'1. Lists'!$AK:$AL,2,FALSE),"")</f>
        <v>9</v>
      </c>
      <c r="L42" s="124" t="s">
        <v>159</v>
      </c>
      <c r="M42" s="70">
        <f>IF(LEN(N42)&gt;0,VLOOKUP(N42,'1. Lists'!$AN:$AQ,4,FALSE),"")</f>
        <v>2</v>
      </c>
      <c r="N42" s="125" t="s">
        <v>382</v>
      </c>
      <c r="O42" s="66">
        <f>IF(LEN(P42)&gt;0,VLOOKUP(P42,'1. Lists'!$AA:$AC,3,FALSE),"")</f>
        <v>4</v>
      </c>
      <c r="P42" s="134" t="s">
        <v>41</v>
      </c>
      <c r="Q42" s="73">
        <f>IF(LEN(R42)&gt;0,VLOOKUP(R42,'1. Lists'!$W:$Y,3,FALSE),"")</f>
        <v>1</v>
      </c>
      <c r="R42" s="127" t="s">
        <v>169</v>
      </c>
      <c r="S42" s="73">
        <f>IF(LEN(T42)&gt;0,VLOOKUP(T42,'1. Lists'!$AH:$AI,2,FALSE),"")</f>
        <v>11</v>
      </c>
      <c r="T42" s="128" t="s">
        <v>396</v>
      </c>
      <c r="U42" s="76">
        <f>IF(LEN(V42)&gt;0,VLOOKUP(V42,'1. Lists'!$AE:$AF,2,FALSE),"")</f>
        <v>11</v>
      </c>
      <c r="V42" s="129" t="s">
        <v>355</v>
      </c>
      <c r="W42" s="130"/>
      <c r="X42" s="131"/>
      <c r="Z42" s="132" t="s">
        <v>796</v>
      </c>
      <c r="AA42" s="132" t="s">
        <v>797</v>
      </c>
      <c r="AB42" s="66">
        <f>IF(LEN(AC42)&gt;0,VLOOKUP(AC42,'1. Lists'!$AV$3:$AX$7,3,FALSE),"")</f>
        <v>3</v>
      </c>
      <c r="AC42" s="133" t="s">
        <v>4</v>
      </c>
      <c r="AD42" s="66">
        <f>IF(LEN(AE42)&gt;0,VLOOKUP(AE42,'1. Lists'!$AZ$3:$BB$7,3,FALSE),"")</f>
        <v>2</v>
      </c>
      <c r="AE42" s="122" t="s">
        <v>9</v>
      </c>
      <c r="AF42" s="123"/>
      <c r="AG42" s="123"/>
      <c r="AH42" s="66">
        <f>IF(LEN(AI42)&gt;0,VLOOKUP(AI42,'1. Lists'!$BD$3:$BF$15,3,FALSE),"")</f>
        <v>5</v>
      </c>
      <c r="AI42" s="127" t="s">
        <v>340</v>
      </c>
      <c r="AJ42" s="134" t="s">
        <v>68</v>
      </c>
      <c r="AK42" s="135" t="s">
        <v>461</v>
      </c>
      <c r="AL42" s="125" t="s">
        <v>418</v>
      </c>
      <c r="AM42" s="145" t="s">
        <v>762</v>
      </c>
      <c r="AN42" s="123"/>
      <c r="AO42" s="145">
        <v>0.85</v>
      </c>
      <c r="AP42" s="137" t="s">
        <v>798</v>
      </c>
      <c r="AQ42" s="123"/>
      <c r="AR42" s="123"/>
      <c r="AS42" s="123"/>
      <c r="AT42" s="123"/>
      <c r="AU42" s="135" t="s">
        <v>460</v>
      </c>
      <c r="AV42" s="80" t="str">
        <f>IF(LEN(AW42)&gt;0,VLOOKUP(AW42,'1. Lists'!$BQ:$BR,2,FALSE),"")</f>
        <v>LAST</v>
      </c>
      <c r="AW42" s="120" t="s">
        <v>190</v>
      </c>
      <c r="AX42" s="80">
        <f>IF(LEN(AY42)&gt;0,VLOOKUP(AY42,'1. Lists'!$BU$3:$BW$5,3,FALSE),"")</f>
        <v>2</v>
      </c>
      <c r="AY42" s="138" t="s">
        <v>82</v>
      </c>
      <c r="AZ42" s="139">
        <v>85</v>
      </c>
      <c r="BA42" s="82">
        <f t="shared" si="8"/>
        <v>85</v>
      </c>
      <c r="BC42" s="141">
        <v>0</v>
      </c>
      <c r="BD42" s="141">
        <v>0</v>
      </c>
      <c r="BE42" s="141">
        <v>0</v>
      </c>
      <c r="BF42" s="141">
        <v>0</v>
      </c>
      <c r="BG42" s="141">
        <v>0</v>
      </c>
      <c r="BH42" s="141">
        <v>0</v>
      </c>
      <c r="BI42" s="141">
        <v>0</v>
      </c>
      <c r="BJ42" s="141">
        <v>0</v>
      </c>
      <c r="BK42" s="141">
        <v>0</v>
      </c>
      <c r="BL42" s="141">
        <v>0</v>
      </c>
      <c r="BM42" s="141">
        <v>0</v>
      </c>
      <c r="BN42" s="141">
        <v>85</v>
      </c>
      <c r="BP42" s="66">
        <f t="shared" si="9"/>
        <v>85</v>
      </c>
      <c r="BQ42" s="66">
        <f t="shared" si="10"/>
        <v>85</v>
      </c>
      <c r="BR42" s="66">
        <f t="shared" si="11"/>
        <v>85</v>
      </c>
      <c r="BU42" s="66">
        <f t="shared" si="12"/>
        <v>85</v>
      </c>
      <c r="BV42" s="66">
        <f t="shared" si="13"/>
        <v>85</v>
      </c>
      <c r="BW42" s="66">
        <f t="shared" si="14"/>
        <v>85</v>
      </c>
    </row>
    <row r="43" spans="1:75" ht="75" x14ac:dyDescent="0.25">
      <c r="A43" s="174">
        <f t="shared" si="7"/>
        <v>40</v>
      </c>
      <c r="B43" s="66">
        <f>IF(LEN(D43)&gt;0,VLOOKUP(D43,'1. Lists'!$E$3:$J$52,6,FALSE),"")</f>
        <v>9</v>
      </c>
      <c r="C43" s="66" t="str">
        <f>IF(LEN(D43)&gt;0,VLOOKUP(D43,'1. Lists'!$E$3:$F$52,2,FALSE),"")</f>
        <v>Administration &amp; Community Services</v>
      </c>
      <c r="D43" s="120" t="s">
        <v>368</v>
      </c>
      <c r="E43" s="121"/>
      <c r="F43" s="65" t="str">
        <f>IF(E43&gt;0,VLOOKUP(E43,'2. Top Layer'!$A:$C,3,FALSE),"")</f>
        <v/>
      </c>
      <c r="G43" s="65" t="str">
        <f>IF(E43&gt;0,VLOOKUP(E43,'2. Top Layer'!$A:$T,17,FALSE),"")</f>
        <v/>
      </c>
      <c r="H43" s="66">
        <f>IF(LEN(I43)&gt;0,VLOOKUP(I43,'1. Lists'!$T:$U,2,FALSE),"")</f>
        <v>57</v>
      </c>
      <c r="I43" s="122" t="s">
        <v>433</v>
      </c>
      <c r="J43" s="123"/>
      <c r="K43" s="66">
        <f>IF(LEN(L43)&gt;0,VLOOKUP(L43,'1. Lists'!$AK:$AL,2,FALSE),"")</f>
        <v>10</v>
      </c>
      <c r="L43" s="124" t="s">
        <v>160</v>
      </c>
      <c r="M43" s="70">
        <f>IF(LEN(N43)&gt;0,VLOOKUP(N43,'1. Lists'!$AN:$AQ,4,FALSE),"")</f>
        <v>6</v>
      </c>
      <c r="N43" s="125" t="s">
        <v>386</v>
      </c>
      <c r="O43" s="66">
        <f>IF(LEN(P43)&gt;0,VLOOKUP(P43,'1. Lists'!$AA:$AC,3,FALSE),"")</f>
        <v>2</v>
      </c>
      <c r="P43" s="126" t="s">
        <v>39</v>
      </c>
      <c r="Q43" s="73">
        <f>IF(LEN(R43)&gt;0,VLOOKUP(R43,'1. Lists'!$W:$Y,3,FALSE),"")</f>
        <v>1</v>
      </c>
      <c r="R43" s="127" t="s">
        <v>169</v>
      </c>
      <c r="S43" s="73">
        <f>IF(LEN(T43)&gt;0,VLOOKUP(T43,'1. Lists'!$AH:$AI,2,FALSE),"")</f>
        <v>17</v>
      </c>
      <c r="T43" s="128" t="s">
        <v>402</v>
      </c>
      <c r="U43" s="76">
        <f>IF(LEN(V43)&gt;0,VLOOKUP(V43,'1. Lists'!$AE:$AF,2,FALSE),"")</f>
        <v>3</v>
      </c>
      <c r="V43" s="129" t="s">
        <v>347</v>
      </c>
      <c r="W43" s="130"/>
      <c r="X43" s="131" t="str">
        <f>IF(W43&gt;0,VLOOKUP($W43,'3. Capital'!$A:$J,4,FALSE),"")</f>
        <v/>
      </c>
      <c r="Y43" s="78" t="str">
        <f>IF(W43&gt;0,VLOOKUP($W43,'3. Capital'!$A:$J,10,FALSE),"")</f>
        <v/>
      </c>
      <c r="Z43" s="132" t="s">
        <v>503</v>
      </c>
      <c r="AA43" s="132" t="s">
        <v>504</v>
      </c>
      <c r="AB43" s="66">
        <f>IF(LEN(AC43)&gt;0,VLOOKUP(AC43,'1. Lists'!$AV$3:$AX$7,3,FALSE),"")</f>
        <v>2</v>
      </c>
      <c r="AC43" s="133" t="s">
        <v>13</v>
      </c>
      <c r="AD43" s="66">
        <f>IF(LEN(AE43)&gt;0,VLOOKUP(AE43,'1. Lists'!$AZ$3:$BB$7,3,FALSE),"")</f>
        <v>2</v>
      </c>
      <c r="AE43" s="122" t="s">
        <v>9</v>
      </c>
      <c r="AF43" s="123"/>
      <c r="AG43" s="123"/>
      <c r="AH43" s="66">
        <f>IF(LEN(AI43)&gt;0,VLOOKUP(AI43,'1. Lists'!$BD$3:$BF$15,3,FALSE),"")</f>
        <v>4</v>
      </c>
      <c r="AI43" s="127" t="s">
        <v>339</v>
      </c>
      <c r="AJ43" s="134" t="s">
        <v>68</v>
      </c>
      <c r="AK43" s="135" t="s">
        <v>461</v>
      </c>
      <c r="AL43" s="125" t="s">
        <v>683</v>
      </c>
      <c r="AM43" s="145">
        <v>0.95</v>
      </c>
      <c r="AN43" s="123"/>
      <c r="AO43" s="137">
        <v>0.95</v>
      </c>
      <c r="AP43" s="137" t="s">
        <v>608</v>
      </c>
      <c r="AQ43" s="123"/>
      <c r="AR43" s="123"/>
      <c r="AS43" s="123"/>
      <c r="AT43" s="123"/>
      <c r="AU43" s="135" t="s">
        <v>460</v>
      </c>
      <c r="AV43" s="80" t="str">
        <f>IF(LEN(AW43)&gt;0,VLOOKUP(AW43,'1. Lists'!$BQ:$BR,2,FALSE),"")</f>
        <v>STD</v>
      </c>
      <c r="AW43" s="133" t="s">
        <v>78</v>
      </c>
      <c r="AX43" s="80">
        <f>IF(LEN(AY43)&gt;0,VLOOKUP(AY43,'1. Lists'!$BU$3:$BW$5,3,FALSE),"")</f>
        <v>2</v>
      </c>
      <c r="AY43" s="138" t="s">
        <v>82</v>
      </c>
      <c r="AZ43" s="139">
        <v>95</v>
      </c>
      <c r="BA43" s="82">
        <f t="shared" si="8"/>
        <v>95</v>
      </c>
      <c r="BC43" s="141">
        <v>95</v>
      </c>
      <c r="BD43" s="141">
        <v>95</v>
      </c>
      <c r="BE43" s="141">
        <v>95</v>
      </c>
      <c r="BF43" s="141">
        <v>95</v>
      </c>
      <c r="BG43" s="141">
        <v>95</v>
      </c>
      <c r="BH43" s="141">
        <v>95</v>
      </c>
      <c r="BI43" s="141">
        <v>95</v>
      </c>
      <c r="BJ43" s="141">
        <v>95</v>
      </c>
      <c r="BK43" s="141">
        <v>95</v>
      </c>
      <c r="BL43" s="141">
        <v>95</v>
      </c>
      <c r="BM43" s="141">
        <v>95</v>
      </c>
      <c r="BN43" s="141">
        <v>95</v>
      </c>
      <c r="BP43" s="66">
        <f t="shared" si="9"/>
        <v>95</v>
      </c>
      <c r="BQ43" s="66">
        <f t="shared" si="10"/>
        <v>1140</v>
      </c>
      <c r="BR43" s="66">
        <f t="shared" si="11"/>
        <v>95</v>
      </c>
      <c r="BS43" s="66">
        <v>0</v>
      </c>
      <c r="BU43" s="66">
        <f t="shared" si="12"/>
        <v>95</v>
      </c>
      <c r="BV43" s="66">
        <f t="shared" si="13"/>
        <v>95</v>
      </c>
      <c r="BW43" s="66">
        <f t="shared" si="14"/>
        <v>95</v>
      </c>
    </row>
    <row r="44" spans="1:75" ht="75" x14ac:dyDescent="0.25">
      <c r="A44" s="174">
        <f t="shared" si="7"/>
        <v>41</v>
      </c>
      <c r="B44" s="66">
        <f>IF(LEN(D44)&gt;0,VLOOKUP(D44,'1. Lists'!$E$3:$J$52,6,FALSE),"")</f>
        <v>9</v>
      </c>
      <c r="C44" s="66" t="str">
        <f>IF(LEN(D44)&gt;0,VLOOKUP(D44,'1. Lists'!$E$3:$F$52,2,FALSE),"")</f>
        <v>Administration &amp; Community Services</v>
      </c>
      <c r="D44" s="120" t="s">
        <v>368</v>
      </c>
      <c r="E44" s="121"/>
      <c r="F44" s="65" t="str">
        <f>IF(E44&gt;0,VLOOKUP(E44,'2. Top Layer'!$A:$C,3,FALSE),"")</f>
        <v/>
      </c>
      <c r="G44" s="65" t="str">
        <f>IF(E44&gt;0,VLOOKUP(E44,'2. Top Layer'!$A:$T,17,FALSE),"")</f>
        <v/>
      </c>
      <c r="H44" s="66">
        <f>IF(LEN(I44)&gt;0,VLOOKUP(I44,'1. Lists'!$T:$U,2,FALSE),"")</f>
        <v>57</v>
      </c>
      <c r="I44" s="122" t="s">
        <v>433</v>
      </c>
      <c r="J44" s="123"/>
      <c r="K44" s="66">
        <f>IF(LEN(L44)&gt;0,VLOOKUP(L44,'1. Lists'!$AK:$AL,2,FALSE),"")</f>
        <v>10</v>
      </c>
      <c r="L44" s="124" t="s">
        <v>160</v>
      </c>
      <c r="M44" s="70">
        <f>IF(LEN(N44)&gt;0,VLOOKUP(N44,'1. Lists'!$AN:$AQ,4,FALSE),"")</f>
        <v>6</v>
      </c>
      <c r="N44" s="125" t="s">
        <v>386</v>
      </c>
      <c r="O44" s="66">
        <f>IF(LEN(P44)&gt;0,VLOOKUP(P44,'1. Lists'!$AA:$AC,3,FALSE),"")</f>
        <v>2</v>
      </c>
      <c r="P44" s="126" t="s">
        <v>39</v>
      </c>
      <c r="Q44" s="73">
        <f>IF(LEN(R44)&gt;0,VLOOKUP(R44,'1. Lists'!$W:$Y,3,FALSE),"")</f>
        <v>1</v>
      </c>
      <c r="R44" s="127" t="s">
        <v>169</v>
      </c>
      <c r="S44" s="73">
        <f>IF(LEN(T44)&gt;0,VLOOKUP(T44,'1. Lists'!$AH:$AI,2,FALSE),"")</f>
        <v>17</v>
      </c>
      <c r="T44" s="128" t="s">
        <v>402</v>
      </c>
      <c r="U44" s="76">
        <f>IF(LEN(V44)&gt;0,VLOOKUP(V44,'1. Lists'!$AE:$AF,2,FALSE),"")</f>
        <v>3</v>
      </c>
      <c r="V44" s="129" t="s">
        <v>347</v>
      </c>
      <c r="W44" s="130"/>
      <c r="X44" s="131" t="str">
        <f>IF(W44&gt;0,VLOOKUP($W44,'3. Capital'!$A:$J,4,FALSE),"")</f>
        <v/>
      </c>
      <c r="Y44" s="78" t="str">
        <f>IF(W44&gt;0,VLOOKUP($W44,'3. Capital'!$A:$J,10,FALSE),"")</f>
        <v/>
      </c>
      <c r="Z44" s="132" t="s">
        <v>505</v>
      </c>
      <c r="AA44" s="132" t="s">
        <v>480</v>
      </c>
      <c r="AB44" s="66">
        <f>IF(LEN(AC44)&gt;0,VLOOKUP(AC44,'1. Lists'!$AV$3:$AX$7,3,FALSE),"")</f>
        <v>3</v>
      </c>
      <c r="AC44" s="133" t="s">
        <v>4</v>
      </c>
      <c r="AD44" s="66">
        <f>IF(LEN(AE44)&gt;0,VLOOKUP(AE44,'1. Lists'!$AZ$3:$BB$7,3,FALSE),"")</f>
        <v>2</v>
      </c>
      <c r="AE44" s="122" t="s">
        <v>9</v>
      </c>
      <c r="AF44" s="123"/>
      <c r="AG44" s="123"/>
      <c r="AH44" s="66">
        <f>IF(LEN(AI44)&gt;0,VLOOKUP(AI44,'1. Lists'!$BD$3:$BF$15,3,FALSE),"")</f>
        <v>4</v>
      </c>
      <c r="AI44" s="127" t="s">
        <v>339</v>
      </c>
      <c r="AJ44" s="134" t="s">
        <v>68</v>
      </c>
      <c r="AK44" s="135" t="s">
        <v>461</v>
      </c>
      <c r="AL44" s="125" t="s">
        <v>683</v>
      </c>
      <c r="AM44" s="136">
        <v>40</v>
      </c>
      <c r="AN44" s="123"/>
      <c r="AO44" s="137" t="s">
        <v>609</v>
      </c>
      <c r="AP44" s="137" t="s">
        <v>610</v>
      </c>
      <c r="AQ44" s="123"/>
      <c r="AR44" s="123"/>
      <c r="AS44" s="123"/>
      <c r="AT44" s="123"/>
      <c r="AU44" s="135" t="s">
        <v>460</v>
      </c>
      <c r="AV44" s="80" t="str">
        <f>IF(LEN(AW44)&gt;0,VLOOKUP(AW44,'1. Lists'!$BQ:$BR,2,FALSE),"")</f>
        <v>ACC</v>
      </c>
      <c r="AW44" s="133" t="s">
        <v>14</v>
      </c>
      <c r="AX44" s="80">
        <f>IF(LEN(AY44)&gt;0,VLOOKUP(AY44,'1. Lists'!$BU$3:$BW$5,3,FALSE),"")</f>
        <v>3</v>
      </c>
      <c r="AY44" s="138" t="s">
        <v>83</v>
      </c>
      <c r="AZ44" s="139">
        <v>40</v>
      </c>
      <c r="BA44" s="82">
        <f t="shared" si="8"/>
        <v>40</v>
      </c>
      <c r="BC44" s="141">
        <v>0</v>
      </c>
      <c r="BD44" s="141">
        <v>0</v>
      </c>
      <c r="BE44" s="141">
        <v>10</v>
      </c>
      <c r="BF44" s="141">
        <v>0</v>
      </c>
      <c r="BG44" s="141">
        <v>0</v>
      </c>
      <c r="BH44" s="141">
        <v>10</v>
      </c>
      <c r="BI44" s="141">
        <v>0</v>
      </c>
      <c r="BJ44" s="141">
        <v>0</v>
      </c>
      <c r="BK44" s="141">
        <v>10</v>
      </c>
      <c r="BL44" s="141">
        <v>0</v>
      </c>
      <c r="BM44" s="141">
        <v>0</v>
      </c>
      <c r="BN44" s="141">
        <v>10</v>
      </c>
      <c r="BP44" s="66">
        <f t="shared" si="9"/>
        <v>10</v>
      </c>
      <c r="BQ44" s="66">
        <f t="shared" si="10"/>
        <v>40</v>
      </c>
      <c r="BR44" s="66">
        <f t="shared" si="11"/>
        <v>10</v>
      </c>
      <c r="BS44" s="66">
        <v>0</v>
      </c>
      <c r="BU44" s="66">
        <f t="shared" si="12"/>
        <v>10</v>
      </c>
      <c r="BV44" s="66">
        <f t="shared" si="13"/>
        <v>10</v>
      </c>
      <c r="BW44" s="66">
        <f t="shared" si="14"/>
        <v>10</v>
      </c>
    </row>
    <row r="45" spans="1:75" ht="60" x14ac:dyDescent="0.25">
      <c r="A45" s="174">
        <f t="shared" si="7"/>
        <v>42</v>
      </c>
      <c r="B45" s="66">
        <f>IF(LEN(D45)&gt;0,VLOOKUP(D45,'1. Lists'!$E$3:$J$52,6,FALSE),"")</f>
        <v>9</v>
      </c>
      <c r="C45" s="66" t="str">
        <f>IF(LEN(D45)&gt;0,VLOOKUP(D45,'1. Lists'!$E$3:$F$52,2,FALSE),"")</f>
        <v>Administration &amp; Community Services</v>
      </c>
      <c r="D45" s="120" t="s">
        <v>368</v>
      </c>
      <c r="E45" s="121"/>
      <c r="F45" s="65" t="str">
        <f>IF(E45&gt;0,VLOOKUP(E45,'2. Top Layer'!$A:$C,3,FALSE),"")</f>
        <v/>
      </c>
      <c r="G45" s="65" t="str">
        <f>IF(E45&gt;0,VLOOKUP(E45,'2. Top Layer'!$A:$T,17,FALSE),"")</f>
        <v/>
      </c>
      <c r="H45" s="66">
        <f>IF(LEN(I45)&gt;0,VLOOKUP(I45,'1. Lists'!$T:$U,2,FALSE),"")</f>
        <v>57</v>
      </c>
      <c r="I45" s="122" t="s">
        <v>433</v>
      </c>
      <c r="J45" s="123"/>
      <c r="K45" s="66">
        <f>IF(LEN(L45)&gt;0,VLOOKUP(L45,'1. Lists'!$AK:$AL,2,FALSE),"")</f>
        <v>10</v>
      </c>
      <c r="L45" s="124" t="s">
        <v>160</v>
      </c>
      <c r="M45" s="70">
        <f>IF(LEN(N45)&gt;0,VLOOKUP(N45,'1. Lists'!$AN:$AQ,4,FALSE),"")</f>
        <v>6</v>
      </c>
      <c r="N45" s="125" t="s">
        <v>386</v>
      </c>
      <c r="O45" s="66">
        <f>IF(LEN(P45)&gt;0,VLOOKUP(P45,'1. Lists'!$AA:$AC,3,FALSE),"")</f>
        <v>2</v>
      </c>
      <c r="P45" s="126" t="s">
        <v>39</v>
      </c>
      <c r="Q45" s="73">
        <f>IF(LEN(R45)&gt;0,VLOOKUP(R45,'1. Lists'!$W:$Y,3,FALSE),"")</f>
        <v>1</v>
      </c>
      <c r="R45" s="127" t="s">
        <v>169</v>
      </c>
      <c r="S45" s="73">
        <f>IF(LEN(T45)&gt;0,VLOOKUP(T45,'1. Lists'!$AH:$AI,2,FALSE),"")</f>
        <v>11</v>
      </c>
      <c r="T45" s="128" t="s">
        <v>396</v>
      </c>
      <c r="U45" s="76">
        <f>IF(LEN(V45)&gt;0,VLOOKUP(V45,'1. Lists'!$AE:$AF,2,FALSE),"")</f>
        <v>3</v>
      </c>
      <c r="V45" s="129" t="s">
        <v>347</v>
      </c>
      <c r="W45" s="130"/>
      <c r="X45" s="131" t="str">
        <f>IF(W45&gt;0,VLOOKUP($W45,'3. Capital'!$A:$J,4,FALSE),"")</f>
        <v/>
      </c>
      <c r="Y45" s="78" t="str">
        <f>IF(W45&gt;0,VLOOKUP($W45,'3. Capital'!$A:$J,10,FALSE),"")</f>
        <v/>
      </c>
      <c r="Z45" s="132" t="s">
        <v>791</v>
      </c>
      <c r="AA45" s="132" t="s">
        <v>495</v>
      </c>
      <c r="AB45" s="66">
        <f>IF(LEN(AC45)&gt;0,VLOOKUP(AC45,'1. Lists'!$AV$3:$AX$7,3,FALSE),"")</f>
        <v>2</v>
      </c>
      <c r="AC45" s="133" t="s">
        <v>13</v>
      </c>
      <c r="AD45" s="66">
        <f>IF(LEN(AE45)&gt;0,VLOOKUP(AE45,'1. Lists'!$AZ$3:$BB$7,3,FALSE),"")</f>
        <v>2</v>
      </c>
      <c r="AE45" s="122" t="s">
        <v>9</v>
      </c>
      <c r="AF45" s="123"/>
      <c r="AG45" s="123"/>
      <c r="AH45" s="66">
        <f>IF(LEN(AI45)&gt;0,VLOOKUP(AI45,'1. Lists'!$BD$3:$BF$15,3,FALSE),"")</f>
        <v>4</v>
      </c>
      <c r="AI45" s="127" t="s">
        <v>339</v>
      </c>
      <c r="AJ45" s="134" t="s">
        <v>68</v>
      </c>
      <c r="AK45" s="135" t="s">
        <v>461</v>
      </c>
      <c r="AL45" s="125" t="s">
        <v>683</v>
      </c>
      <c r="AM45" s="136">
        <v>10</v>
      </c>
      <c r="AN45" s="123"/>
      <c r="AO45" s="137" t="s">
        <v>611</v>
      </c>
      <c r="AP45" s="137" t="s">
        <v>599</v>
      </c>
      <c r="AQ45" s="123"/>
      <c r="AR45" s="123"/>
      <c r="AS45" s="123"/>
      <c r="AT45" s="123"/>
      <c r="AU45" s="135" t="s">
        <v>460</v>
      </c>
      <c r="AV45" s="80" t="str">
        <f>IF(LEN(AW45)&gt;0,VLOOKUP(AW45,'1. Lists'!$BQ:$BR,2,FALSE),"")</f>
        <v>ACC</v>
      </c>
      <c r="AW45" s="133" t="s">
        <v>14</v>
      </c>
      <c r="AX45" s="80">
        <f>IF(LEN(AY45)&gt;0,VLOOKUP(AY45,'1. Lists'!$BU$3:$BW$5,3,FALSE),"")</f>
        <v>3</v>
      </c>
      <c r="AY45" s="138" t="s">
        <v>83</v>
      </c>
      <c r="AZ45" s="139">
        <v>12</v>
      </c>
      <c r="BA45" s="82">
        <f t="shared" si="8"/>
        <v>12</v>
      </c>
      <c r="BC45" s="141">
        <v>1</v>
      </c>
      <c r="BD45" s="141">
        <v>1</v>
      </c>
      <c r="BE45" s="141">
        <v>1</v>
      </c>
      <c r="BF45" s="141">
        <v>1</v>
      </c>
      <c r="BG45" s="141">
        <v>1</v>
      </c>
      <c r="BH45" s="141">
        <v>1</v>
      </c>
      <c r="BI45" s="141">
        <v>1</v>
      </c>
      <c r="BJ45" s="141">
        <v>1</v>
      </c>
      <c r="BK45" s="141">
        <v>1</v>
      </c>
      <c r="BL45" s="141">
        <v>1</v>
      </c>
      <c r="BM45" s="141">
        <v>1</v>
      </c>
      <c r="BN45" s="141">
        <v>1</v>
      </c>
      <c r="BP45" s="66">
        <f t="shared" si="9"/>
        <v>1</v>
      </c>
      <c r="BQ45" s="66">
        <f t="shared" si="10"/>
        <v>12</v>
      </c>
      <c r="BR45" s="66">
        <f t="shared" si="11"/>
        <v>1</v>
      </c>
      <c r="BS45" s="66">
        <v>0</v>
      </c>
      <c r="BU45" s="66">
        <f t="shared" si="12"/>
        <v>1</v>
      </c>
      <c r="BV45" s="66">
        <f t="shared" si="13"/>
        <v>1</v>
      </c>
      <c r="BW45" s="66">
        <f t="shared" si="14"/>
        <v>1</v>
      </c>
    </row>
    <row r="46" spans="1:75" ht="75" x14ac:dyDescent="0.25">
      <c r="A46" s="174">
        <f t="shared" si="7"/>
        <v>43</v>
      </c>
      <c r="B46" s="66">
        <f>IF(LEN(D46)&gt;0,VLOOKUP(D46,'1. Lists'!$E$3:$J$52,6,FALSE),"")</f>
        <v>9</v>
      </c>
      <c r="C46" s="66" t="str">
        <f>IF(LEN(D46)&gt;0,VLOOKUP(D46,'1. Lists'!$E$3:$F$52,2,FALSE),"")</f>
        <v>Administration &amp; Community Services</v>
      </c>
      <c r="D46" s="120" t="s">
        <v>368</v>
      </c>
      <c r="E46" s="121"/>
      <c r="F46" s="65"/>
      <c r="H46" s="66">
        <f>IF(LEN(I46)&gt;0,VLOOKUP(I46,'1. Lists'!$T:$U,2,FALSE),"")</f>
        <v>67</v>
      </c>
      <c r="I46" s="122" t="s">
        <v>437</v>
      </c>
      <c r="J46" s="123"/>
      <c r="K46" s="66">
        <f>IF(LEN(L46)&gt;0,VLOOKUP(L46,'1. Lists'!$AK:$AL,2,FALSE),"")</f>
        <v>9</v>
      </c>
      <c r="L46" s="124" t="s">
        <v>159</v>
      </c>
      <c r="M46" s="70">
        <f>IF(LEN(N46)&gt;0,VLOOKUP(N46,'1. Lists'!$AN:$AQ,4,FALSE),"")</f>
        <v>2</v>
      </c>
      <c r="N46" s="125" t="s">
        <v>382</v>
      </c>
      <c r="O46" s="66">
        <f>IF(LEN(P46)&gt;0,VLOOKUP(P46,'1. Lists'!$AA:$AC,3,FALSE),"")</f>
        <v>4</v>
      </c>
      <c r="P46" s="134" t="s">
        <v>41</v>
      </c>
      <c r="Q46" s="73">
        <f>IF(LEN(R46)&gt;0,VLOOKUP(R46,'1. Lists'!$W:$Y,3,FALSE),"")</f>
        <v>1</v>
      </c>
      <c r="R46" s="127" t="s">
        <v>169</v>
      </c>
      <c r="S46" s="73">
        <f>IF(LEN(T46)&gt;0,VLOOKUP(T46,'1. Lists'!$AH:$AI,2,FALSE),"")</f>
        <v>11</v>
      </c>
      <c r="T46" s="128" t="s">
        <v>396</v>
      </c>
      <c r="U46" s="76">
        <f>IF(LEN(V46)&gt;0,VLOOKUP(V46,'1. Lists'!$AE:$AF,2,FALSE),"")</f>
        <v>11</v>
      </c>
      <c r="V46" s="129" t="s">
        <v>355</v>
      </c>
      <c r="W46" s="130"/>
      <c r="X46" s="131"/>
      <c r="Z46" s="132" t="s">
        <v>792</v>
      </c>
      <c r="AA46" s="132" t="s">
        <v>739</v>
      </c>
      <c r="AB46" s="66">
        <f>IF(LEN(AC46)&gt;0,VLOOKUP(AC46,'1. Lists'!$AV$3:$AX$7,3,FALSE),"")</f>
        <v>2</v>
      </c>
      <c r="AC46" s="133" t="s">
        <v>13</v>
      </c>
      <c r="AD46" s="66">
        <f>IF(LEN(AE46)&gt;0,VLOOKUP(AE46,'1. Lists'!$AZ$3:$BB$7,3,FALSE),"")</f>
        <v>2</v>
      </c>
      <c r="AE46" s="122" t="s">
        <v>9</v>
      </c>
      <c r="AF46" s="123"/>
      <c r="AG46" s="123"/>
      <c r="AH46" s="66">
        <f>IF(LEN(AI46)&gt;0,VLOOKUP(AI46,'1. Lists'!$BD$3:$BF$15,3,FALSE),"")</f>
        <v>5</v>
      </c>
      <c r="AI46" s="127" t="s">
        <v>340</v>
      </c>
      <c r="AJ46" s="134" t="s">
        <v>68</v>
      </c>
      <c r="AK46" s="135" t="s">
        <v>461</v>
      </c>
      <c r="AL46" s="125" t="s">
        <v>683</v>
      </c>
      <c r="AM46" s="145" t="s">
        <v>762</v>
      </c>
      <c r="AN46" s="123"/>
      <c r="AO46" s="136" t="s">
        <v>565</v>
      </c>
      <c r="AP46" s="137" t="s">
        <v>790</v>
      </c>
      <c r="AQ46" s="123"/>
      <c r="AR46" s="123"/>
      <c r="AS46" s="123"/>
      <c r="AT46" s="123"/>
      <c r="AU46" s="135" t="s">
        <v>460</v>
      </c>
      <c r="AV46" s="80" t="str">
        <f>IF(LEN(AW46)&gt;0,VLOOKUP(AW46,'1. Lists'!$BQ:$BR,2,FALSE),"")</f>
        <v>ACC</v>
      </c>
      <c r="AW46" s="120" t="s">
        <v>14</v>
      </c>
      <c r="AX46" s="80">
        <f>IF(LEN(AY46)&gt;0,VLOOKUP(AY46,'1. Lists'!$BU$3:$BW$5,3,FALSE),"")</f>
        <v>3</v>
      </c>
      <c r="AY46" s="138" t="s">
        <v>83</v>
      </c>
      <c r="AZ46" s="139">
        <v>4</v>
      </c>
      <c r="BA46" s="82">
        <f t="shared" si="8"/>
        <v>4</v>
      </c>
      <c r="BC46" s="141">
        <v>0</v>
      </c>
      <c r="BD46" s="141">
        <v>0</v>
      </c>
      <c r="BE46" s="141">
        <v>1</v>
      </c>
      <c r="BF46" s="141">
        <v>0</v>
      </c>
      <c r="BG46" s="141">
        <v>0</v>
      </c>
      <c r="BH46" s="141">
        <v>1</v>
      </c>
      <c r="BI46" s="141">
        <v>0</v>
      </c>
      <c r="BJ46" s="141">
        <v>0</v>
      </c>
      <c r="BK46" s="141">
        <v>1</v>
      </c>
      <c r="BL46" s="141">
        <v>0</v>
      </c>
      <c r="BM46" s="141">
        <v>0</v>
      </c>
      <c r="BN46" s="141">
        <v>1</v>
      </c>
      <c r="BP46" s="66">
        <f t="shared" si="9"/>
        <v>1</v>
      </c>
      <c r="BQ46" s="66">
        <f t="shared" si="10"/>
        <v>4</v>
      </c>
      <c r="BR46" s="66">
        <f t="shared" si="11"/>
        <v>1</v>
      </c>
      <c r="BU46" s="66">
        <f t="shared" si="12"/>
        <v>1</v>
      </c>
      <c r="BV46" s="66">
        <f t="shared" si="13"/>
        <v>1</v>
      </c>
      <c r="BW46" s="66">
        <f t="shared" si="14"/>
        <v>1</v>
      </c>
    </row>
    <row r="47" spans="1:75" ht="75" x14ac:dyDescent="0.25">
      <c r="A47" s="174">
        <f t="shared" si="7"/>
        <v>44</v>
      </c>
      <c r="B47" s="66">
        <f>IF(LEN(D47)&gt;0,VLOOKUP(D47,'1. Lists'!$E$3:$J$52,6,FALSE),"")</f>
        <v>9</v>
      </c>
      <c r="C47" s="66" t="str">
        <f>IF(LEN(D47)&gt;0,VLOOKUP(D47,'1. Lists'!$E$3:$F$52,2,FALSE),"")</f>
        <v>Administration &amp; Community Services</v>
      </c>
      <c r="D47" s="120" t="s">
        <v>368</v>
      </c>
      <c r="E47" s="121"/>
      <c r="F47" s="65"/>
      <c r="H47" s="66">
        <f>IF(LEN(I47)&gt;0,VLOOKUP(I47,'1. Lists'!$T:$U,2,FALSE),"")</f>
        <v>67</v>
      </c>
      <c r="I47" s="122" t="s">
        <v>437</v>
      </c>
      <c r="J47" s="123"/>
      <c r="K47" s="66">
        <f>IF(LEN(L47)&gt;0,VLOOKUP(L47,'1. Lists'!$AK:$AL,2,FALSE),"")</f>
        <v>9</v>
      </c>
      <c r="L47" s="124" t="s">
        <v>159</v>
      </c>
      <c r="M47" s="70">
        <f>IF(LEN(N47)&gt;0,VLOOKUP(N47,'1. Lists'!$AN:$AQ,4,FALSE),"")</f>
        <v>2</v>
      </c>
      <c r="N47" s="125" t="s">
        <v>382</v>
      </c>
      <c r="O47" s="66">
        <f>IF(LEN(P47)&gt;0,VLOOKUP(P47,'1. Lists'!$AA:$AC,3,FALSE),"")</f>
        <v>4</v>
      </c>
      <c r="P47" s="134" t="s">
        <v>41</v>
      </c>
      <c r="Q47" s="73">
        <f>IF(LEN(R47)&gt;0,VLOOKUP(R47,'1. Lists'!$W:$Y,3,FALSE),"")</f>
        <v>1</v>
      </c>
      <c r="R47" s="127" t="s">
        <v>169</v>
      </c>
      <c r="S47" s="73">
        <f>IF(LEN(T47)&gt;0,VLOOKUP(T47,'1. Lists'!$AH:$AI,2,FALSE),"")</f>
        <v>11</v>
      </c>
      <c r="T47" s="128" t="s">
        <v>396</v>
      </c>
      <c r="U47" s="76">
        <f>IF(LEN(V47)&gt;0,VLOOKUP(V47,'1. Lists'!$AE:$AF,2,FALSE),"")</f>
        <v>11</v>
      </c>
      <c r="V47" s="129" t="s">
        <v>355</v>
      </c>
      <c r="W47" s="130"/>
      <c r="X47" s="131"/>
      <c r="Z47" s="132" t="s">
        <v>793</v>
      </c>
      <c r="AA47" s="132" t="s">
        <v>794</v>
      </c>
      <c r="AB47" s="66">
        <f>IF(LEN(AC47)&gt;0,VLOOKUP(AC47,'1. Lists'!$AV$3:$AX$7,3,FALSE),"")</f>
        <v>2</v>
      </c>
      <c r="AC47" s="133" t="s">
        <v>13</v>
      </c>
      <c r="AD47" s="66">
        <f>IF(LEN(AE47)&gt;0,VLOOKUP(AE47,'1. Lists'!$AZ$3:$BB$7,3,FALSE),"")</f>
        <v>2</v>
      </c>
      <c r="AE47" s="122" t="s">
        <v>9</v>
      </c>
      <c r="AF47" s="123"/>
      <c r="AG47" s="123"/>
      <c r="AH47" s="66">
        <f>IF(LEN(AI47)&gt;0,VLOOKUP(AI47,'1. Lists'!$BD$3:$BF$15,3,FALSE),"")</f>
        <v>5</v>
      </c>
      <c r="AI47" s="127" t="s">
        <v>340</v>
      </c>
      <c r="AJ47" s="134" t="s">
        <v>68</v>
      </c>
      <c r="AK47" s="135" t="s">
        <v>461</v>
      </c>
      <c r="AL47" s="125" t="s">
        <v>683</v>
      </c>
      <c r="AM47" s="145" t="s">
        <v>762</v>
      </c>
      <c r="AN47" s="123"/>
      <c r="AO47" s="136" t="s">
        <v>795</v>
      </c>
      <c r="AP47" s="137" t="s">
        <v>790</v>
      </c>
      <c r="AQ47" s="123"/>
      <c r="AR47" s="123"/>
      <c r="AS47" s="123"/>
      <c r="AT47" s="123"/>
      <c r="AU47" s="135" t="s">
        <v>460</v>
      </c>
      <c r="AV47" s="80" t="str">
        <f>IF(LEN(AW47)&gt;0,VLOOKUP(AW47,'1. Lists'!$BQ:$BR,2,FALSE),"")</f>
        <v>ACC</v>
      </c>
      <c r="AW47" s="120" t="s">
        <v>14</v>
      </c>
      <c r="AX47" s="80">
        <f>IF(LEN(AY47)&gt;0,VLOOKUP(AY47,'1. Lists'!$BU$3:$BW$5,3,FALSE),"")</f>
        <v>3</v>
      </c>
      <c r="AY47" s="138" t="s">
        <v>83</v>
      </c>
      <c r="AZ47" s="139">
        <v>12</v>
      </c>
      <c r="BA47" s="82">
        <f t="shared" si="8"/>
        <v>12</v>
      </c>
      <c r="BC47" s="141">
        <v>1</v>
      </c>
      <c r="BD47" s="141">
        <v>1</v>
      </c>
      <c r="BE47" s="141">
        <v>1</v>
      </c>
      <c r="BF47" s="141">
        <v>1</v>
      </c>
      <c r="BG47" s="141">
        <v>1</v>
      </c>
      <c r="BH47" s="141">
        <v>1</v>
      </c>
      <c r="BI47" s="141">
        <v>1</v>
      </c>
      <c r="BJ47" s="141">
        <v>1</v>
      </c>
      <c r="BK47" s="141">
        <v>1</v>
      </c>
      <c r="BL47" s="141">
        <v>1</v>
      </c>
      <c r="BM47" s="141">
        <v>1</v>
      </c>
      <c r="BN47" s="141">
        <v>1</v>
      </c>
      <c r="BP47" s="66">
        <f t="shared" si="9"/>
        <v>1</v>
      </c>
      <c r="BQ47" s="66">
        <f t="shared" si="10"/>
        <v>12</v>
      </c>
      <c r="BR47" s="66">
        <f t="shared" si="11"/>
        <v>1</v>
      </c>
      <c r="BU47" s="66">
        <f t="shared" si="12"/>
        <v>1</v>
      </c>
      <c r="BV47" s="66">
        <f t="shared" si="13"/>
        <v>1</v>
      </c>
      <c r="BW47" s="66">
        <f t="shared" si="14"/>
        <v>1</v>
      </c>
    </row>
    <row r="48" spans="1:75" ht="75" x14ac:dyDescent="0.25">
      <c r="A48" s="174">
        <f t="shared" si="7"/>
        <v>45</v>
      </c>
      <c r="B48" s="66">
        <f>IF(LEN(D48)&gt;0,VLOOKUP(D48,'1. Lists'!$E$3:$J$52,6,FALSE),"")</f>
        <v>9</v>
      </c>
      <c r="C48" s="66" t="str">
        <f>IF(LEN(D48)&gt;0,VLOOKUP(D48,'1. Lists'!$E$3:$F$52,2,FALSE),"")</f>
        <v>Administration &amp; Community Services</v>
      </c>
      <c r="D48" s="120" t="s">
        <v>368</v>
      </c>
      <c r="E48" s="121"/>
      <c r="F48" s="65"/>
      <c r="H48" s="66">
        <f>IF(LEN(I48)&gt;0,VLOOKUP(I48,'1. Lists'!$T:$U,2,FALSE),"")</f>
        <v>67</v>
      </c>
      <c r="I48" s="122" t="s">
        <v>437</v>
      </c>
      <c r="J48" s="123"/>
      <c r="K48" s="66">
        <f>IF(LEN(L48)&gt;0,VLOOKUP(L48,'1. Lists'!$AK:$AL,2,FALSE),"")</f>
        <v>9</v>
      </c>
      <c r="L48" s="124" t="s">
        <v>159</v>
      </c>
      <c r="M48" s="70">
        <f>IF(LEN(N48)&gt;0,VLOOKUP(N48,'1. Lists'!$AN:$AQ,4,FALSE),"")</f>
        <v>2</v>
      </c>
      <c r="N48" s="125" t="s">
        <v>382</v>
      </c>
      <c r="O48" s="66">
        <f>IF(LEN(P48)&gt;0,VLOOKUP(P48,'1. Lists'!$AA:$AC,3,FALSE),"")</f>
        <v>4</v>
      </c>
      <c r="P48" s="134" t="s">
        <v>41</v>
      </c>
      <c r="Q48" s="73">
        <f>IF(LEN(R48)&gt;0,VLOOKUP(R48,'1. Lists'!$W:$Y,3,FALSE),"")</f>
        <v>1</v>
      </c>
      <c r="R48" s="127" t="s">
        <v>169</v>
      </c>
      <c r="S48" s="73">
        <f>IF(LEN(T48)&gt;0,VLOOKUP(T48,'1. Lists'!$AH:$AI,2,FALSE),"")</f>
        <v>11</v>
      </c>
      <c r="T48" s="128" t="s">
        <v>396</v>
      </c>
      <c r="U48" s="76">
        <f>IF(LEN(V48)&gt;0,VLOOKUP(V48,'1. Lists'!$AE:$AF,2,FALSE),"")</f>
        <v>11</v>
      </c>
      <c r="V48" s="129" t="s">
        <v>355</v>
      </c>
      <c r="W48" s="130"/>
      <c r="X48" s="131"/>
      <c r="Z48" s="132" t="s">
        <v>796</v>
      </c>
      <c r="AA48" s="132" t="s">
        <v>797</v>
      </c>
      <c r="AB48" s="66">
        <f>IF(LEN(AC48)&gt;0,VLOOKUP(AC48,'1. Lists'!$AV$3:$AX$7,3,FALSE),"")</f>
        <v>3</v>
      </c>
      <c r="AC48" s="133" t="s">
        <v>4</v>
      </c>
      <c r="AD48" s="66">
        <f>IF(LEN(AE48)&gt;0,VLOOKUP(AE48,'1. Lists'!$AZ$3:$BB$7,3,FALSE),"")</f>
        <v>2</v>
      </c>
      <c r="AE48" s="122" t="s">
        <v>9</v>
      </c>
      <c r="AF48" s="123"/>
      <c r="AG48" s="123"/>
      <c r="AH48" s="66">
        <f>IF(LEN(AI48)&gt;0,VLOOKUP(AI48,'1. Lists'!$BD$3:$BF$15,3,FALSE),"")</f>
        <v>5</v>
      </c>
      <c r="AI48" s="127" t="s">
        <v>340</v>
      </c>
      <c r="AJ48" s="134" t="s">
        <v>68</v>
      </c>
      <c r="AK48" s="135" t="s">
        <v>461</v>
      </c>
      <c r="AL48" s="125" t="s">
        <v>683</v>
      </c>
      <c r="AM48" s="145" t="s">
        <v>762</v>
      </c>
      <c r="AN48" s="123"/>
      <c r="AO48" s="145">
        <v>0.85</v>
      </c>
      <c r="AP48" s="137" t="s">
        <v>798</v>
      </c>
      <c r="AQ48" s="123"/>
      <c r="AR48" s="123"/>
      <c r="AS48" s="123"/>
      <c r="AT48" s="123"/>
      <c r="AU48" s="135" t="s">
        <v>460</v>
      </c>
      <c r="AV48" s="80" t="str">
        <f>IF(LEN(AW48)&gt;0,VLOOKUP(AW48,'1. Lists'!$BQ:$BR,2,FALSE),"")</f>
        <v>LAST</v>
      </c>
      <c r="AW48" s="120" t="s">
        <v>190</v>
      </c>
      <c r="AX48" s="80">
        <f>IF(LEN(AY48)&gt;0,VLOOKUP(AY48,'1. Lists'!$BU$3:$BW$5,3,FALSE),"")</f>
        <v>2</v>
      </c>
      <c r="AY48" s="138" t="s">
        <v>82</v>
      </c>
      <c r="AZ48" s="139">
        <v>85</v>
      </c>
      <c r="BA48" s="82">
        <f t="shared" si="8"/>
        <v>85</v>
      </c>
      <c r="BC48" s="141">
        <v>0</v>
      </c>
      <c r="BD48" s="141">
        <v>0</v>
      </c>
      <c r="BE48" s="141">
        <v>0</v>
      </c>
      <c r="BF48" s="141">
        <v>0</v>
      </c>
      <c r="BG48" s="141">
        <v>0</v>
      </c>
      <c r="BH48" s="141">
        <v>0</v>
      </c>
      <c r="BI48" s="141">
        <v>0</v>
      </c>
      <c r="BJ48" s="141">
        <v>0</v>
      </c>
      <c r="BK48" s="141">
        <v>0</v>
      </c>
      <c r="BL48" s="141">
        <v>0</v>
      </c>
      <c r="BM48" s="141">
        <v>0</v>
      </c>
      <c r="BN48" s="141">
        <v>85</v>
      </c>
      <c r="BP48" s="66">
        <f t="shared" si="9"/>
        <v>85</v>
      </c>
      <c r="BQ48" s="66">
        <f t="shared" si="10"/>
        <v>85</v>
      </c>
      <c r="BR48" s="66">
        <f t="shared" si="11"/>
        <v>85</v>
      </c>
      <c r="BU48" s="66">
        <f t="shared" si="12"/>
        <v>85</v>
      </c>
      <c r="BV48" s="66">
        <f t="shared" si="13"/>
        <v>85</v>
      </c>
      <c r="BW48" s="66">
        <f t="shared" si="14"/>
        <v>85</v>
      </c>
    </row>
  </sheetData>
  <sortState ref="A15:BW48">
    <sortCondition ref="D15:D48"/>
  </sortState>
  <mergeCells count="16">
    <mergeCell ref="AH2:AI2"/>
    <mergeCell ref="AV2:AW2"/>
    <mergeCell ref="AX2:AY2"/>
    <mergeCell ref="BP2:BW2"/>
    <mergeCell ref="Q2:R2"/>
    <mergeCell ref="S2:T2"/>
    <mergeCell ref="U2:V2"/>
    <mergeCell ref="W2:Y2"/>
    <mergeCell ref="AB2:AC2"/>
    <mergeCell ref="AD2:AE2"/>
    <mergeCell ref="O2:P2"/>
    <mergeCell ref="B2:D2"/>
    <mergeCell ref="E2:G2"/>
    <mergeCell ref="H2:I2"/>
    <mergeCell ref="K2:L2"/>
    <mergeCell ref="M2:N2"/>
  </mergeCells>
  <conditionalFormatting sqref="AB1 Q1 O1 M1 K1 G1:H1 AV1 AX1 B1:C1 AB49:AB1048576 G49:H1048576 F4:H4 AB4 AV4 AD4 AH4 Q4 O4 AX4 K4 M4 B4:C4 S4 U4 B46:C1048576 F46:H48 K46:K1048576 M46:M1048576 O46:O1048576 Q46:Q1048576 U46:U1048576 S46:S1048576 AD46:AD47 AB46:AB47 AV46:AV1048576 AX46:AX1048576 U15:U34 S15:S34 B15:C34 M15:M34 K15:K34 AX15:AX34 O15:O34 Q15:Q34 AH15:AH34 AD15:AD34 AV15:AV34 AB15:AB34 F15:H34">
    <cfRule type="containsErrors" dxfId="428" priority="354">
      <formula>ISERROR(B1)</formula>
    </cfRule>
  </conditionalFormatting>
  <conditionalFormatting sqref="C4 C46:C48 C15:C34">
    <cfRule type="containsBlanks" dxfId="427" priority="334">
      <formula>LEN(TRIM(C4))=0</formula>
    </cfRule>
    <cfRule type="cellIs" dxfId="426" priority="335" operator="notEqual">
      <formula>$C$1</formula>
    </cfRule>
  </conditionalFormatting>
  <conditionalFormatting sqref="J4 J46:J48 J15:J34">
    <cfRule type="expression" dxfId="425" priority="353">
      <formula>LEN(J4)&gt;(MID($J$3,1,FIND(" ",$J$3)-1)*1)</formula>
    </cfRule>
  </conditionalFormatting>
  <conditionalFormatting sqref="T4 AF4:AG4 V4 AM4:AT4 Z4:AA4 AF46:AG48 T46:T48 V46:V48 AM46:AT48 Z46:AA48 Z15:AA34 AM15:AT34 V15:V34 AF15:AG34 T15:T34">
    <cfRule type="expression" dxfId="424" priority="352">
      <formula>LEN(T4)&gt;(MID(T$3,1,FIND(" ",T$3)-1)*1)</formula>
    </cfRule>
  </conditionalFormatting>
  <conditionalFormatting sqref="C4 C46:C48 C15:C34">
    <cfRule type="containsBlanks" dxfId="423" priority="345">
      <formula>LEN(TRIM(C4))=0</formula>
    </cfRule>
  </conditionalFormatting>
  <conditionalFormatting sqref="T4 L4 N4 P4 R4 AC4 AE4 AW4 AY4 I4 V4 AU4 AI4:AL4 AU46:AU48 L46:L48 N46:N48 P46:P48 R46:R48 T46:T48 V46:V48 AE46:AE47 AC46:AC47 AY46:AY48 AW46:AW48 D46:D48 Z46:Z48 AL46:AL48 AI13:AK13 Z4:Z13 I36:I37 AI36:AL37 AI15:AL34 AC12:AC13 AE12:AE13 I8:I13 AU13 L9:L13 N13 P9:P13 R9:R13 T9:T13 V9:V13 AY9:AY13 AW15:AW37 AY15:AY37 V15:V37 T15:T37 R15:R37 P15:P37 N15:N37 L15:L37 AU15:AU37 I15:I34 AE15:AE34 AC15:AC34 Z15:Z37 D4:D37 AL5:AL14">
    <cfRule type="expression" dxfId="422" priority="336">
      <formula>IF((LEN(D4)+$A4)=$A4,IF($A4&gt;0,TRUE,FALSE),FALSE)</formula>
    </cfRule>
  </conditionalFormatting>
  <conditionalFormatting sqref="X4 X46:X48 X13 X15:X37">
    <cfRule type="expression" dxfId="421" priority="333">
      <formula>IF(LEN(W4)&gt;0,IF(X4&lt;&gt;D4,TRUE,FALSE),FALSE)</formula>
    </cfRule>
  </conditionalFormatting>
  <conditionalFormatting sqref="X4:Y4 X46:Y48 X15:Y34">
    <cfRule type="containsErrors" dxfId="420" priority="332">
      <formula>ISERROR(X4)</formula>
    </cfRule>
  </conditionalFormatting>
  <conditionalFormatting sqref="S1">
    <cfRule type="containsErrors" dxfId="419" priority="229">
      <formula>ISERROR(S1)</formula>
    </cfRule>
  </conditionalFormatting>
  <conditionalFormatting sqref="U1">
    <cfRule type="containsErrors" dxfId="418" priority="220">
      <formula>ISERROR(U1)</formula>
    </cfRule>
  </conditionalFormatting>
  <conditionalFormatting sqref="AI39:AI41">
    <cfRule type="expression" dxfId="417" priority="134">
      <formula>IF((LEN(AI39)+$A39)=$A39,IF($A39&gt;0,TRUE,FALSE),FALSE)</formula>
    </cfRule>
  </conditionalFormatting>
  <conditionalFormatting sqref="F3:G3 AV3 AX3 B3:C3">
    <cfRule type="containsErrors" dxfId="416" priority="204">
      <formula>ISERROR(B3)</formula>
    </cfRule>
  </conditionalFormatting>
  <conditionalFormatting sqref="BP4:BW13 BP15:BW48">
    <cfRule type="expression" dxfId="415" priority="180">
      <formula>IF(BP$3=$AV4,TRUE,FALSE)</formula>
    </cfRule>
  </conditionalFormatting>
  <conditionalFormatting sqref="AH35 B35:C37 F35:H37 K35:K37 M35:M37 O35:O37 Q35:Q37 U35:U37 S35:S37 AD35:AD37 AB35:AB37 AV35:AV37 AX35:AX37">
    <cfRule type="containsErrors" dxfId="414" priority="168">
      <formula>ISERROR(B35)</formula>
    </cfRule>
  </conditionalFormatting>
  <conditionalFormatting sqref="C35:C37">
    <cfRule type="containsBlanks" dxfId="413" priority="162">
      <formula>LEN(TRIM(C35))=0</formula>
    </cfRule>
    <cfRule type="cellIs" dxfId="412" priority="163" operator="notEqual">
      <formula>$C$1</formula>
    </cfRule>
  </conditionalFormatting>
  <conditionalFormatting sqref="J35:J37">
    <cfRule type="expression" dxfId="411" priority="167">
      <formula>LEN(J35)&gt;(MID($J$3,1,FIND(" ",$J$3)-1)*1)</formula>
    </cfRule>
  </conditionalFormatting>
  <conditionalFormatting sqref="Z35:AA37 AF35:AG37 T35:T37 V35:V37 AM35:AT37">
    <cfRule type="expression" dxfId="410" priority="166">
      <formula>LEN(T35)&gt;(MID(T$3,1,FIND(" ",T$3)-1)*1)</formula>
    </cfRule>
  </conditionalFormatting>
  <conditionalFormatting sqref="C35:C37">
    <cfRule type="containsBlanks" dxfId="409" priority="165">
      <formula>LEN(TRIM(C35))=0</formula>
    </cfRule>
  </conditionalFormatting>
  <conditionalFormatting sqref="AJ35:AL35 AE35:AE37 AC35:AC37">
    <cfRule type="expression" dxfId="408" priority="164">
      <formula>IF((LEN(AC35)+$A35)=$A35,IF($A35&gt;0,TRUE,FALSE),FALSE)</formula>
    </cfRule>
  </conditionalFormatting>
  <conditionalFormatting sqref="X35:Y37">
    <cfRule type="containsErrors" dxfId="407" priority="160">
      <formula>ISERROR(X35)</formula>
    </cfRule>
  </conditionalFormatting>
  <conditionalFormatting sqref="AI35">
    <cfRule type="expression" dxfId="406" priority="158">
      <formula>IF((LEN(AI35)+$A35)=$A35,IF($A35&gt;0,TRUE,FALSE),FALSE)</formula>
    </cfRule>
  </conditionalFormatting>
  <conditionalFormatting sqref="AH36:AH37">
    <cfRule type="containsErrors" dxfId="405" priority="155">
      <formula>ISERROR(AH36)</formula>
    </cfRule>
  </conditionalFormatting>
  <conditionalFormatting sqref="I35">
    <cfRule type="expression" dxfId="404" priority="152">
      <formula>IF((LEN(I35)+$A35)=$A35,IF($A35&gt;0,TRUE,FALSE),FALSE)</formula>
    </cfRule>
  </conditionalFormatting>
  <conditionalFormatting sqref="AH38 B38:C41 F38:H41 K38:K41 M38:M41 O38:O41 Q38:Q41 U38:U41 S38:S41 AD38:AD40 AB38:AB40 AV38:AV41 AX38:AX41">
    <cfRule type="containsErrors" dxfId="403" priority="149">
      <formula>ISERROR(B38)</formula>
    </cfRule>
  </conditionalFormatting>
  <conditionalFormatting sqref="C38:C41">
    <cfRule type="containsBlanks" dxfId="402" priority="143">
      <formula>LEN(TRIM(C38))=0</formula>
    </cfRule>
    <cfRule type="cellIs" dxfId="401" priority="144" operator="notEqual">
      <formula>$C$1</formula>
    </cfRule>
  </conditionalFormatting>
  <conditionalFormatting sqref="J38:J41">
    <cfRule type="expression" dxfId="400" priority="148">
      <formula>LEN(J38)&gt;(MID($J$3,1,FIND(" ",$J$3)-1)*1)</formula>
    </cfRule>
  </conditionalFormatting>
  <conditionalFormatting sqref="Z38:AA38 AF38:AG41 T38:T41 V38:V41 AM38:AT41">
    <cfRule type="expression" dxfId="399" priority="147">
      <formula>LEN(T38)&gt;(MID(T$3,1,FIND(" ",T$3)-1)*1)</formula>
    </cfRule>
  </conditionalFormatting>
  <conditionalFormatting sqref="C38:C41">
    <cfRule type="containsBlanks" dxfId="398" priority="146">
      <formula>LEN(TRIM(C38))=0</formula>
    </cfRule>
  </conditionalFormatting>
  <conditionalFormatting sqref="AU38:AU41 Z38 AJ38:AL38 L38:L41 N38:N41 P38:P41 R38:R41 T38:T41 V38:V41 AE38:AE40 AC38:AC40 AY38:AY41 AW38:AW41 I39:I41 D38:D41">
    <cfRule type="expression" dxfId="397" priority="145">
      <formula>IF((LEN(D38)+$A38)=$A38,IF($A38&gt;0,TRUE,FALSE),FALSE)</formula>
    </cfRule>
  </conditionalFormatting>
  <conditionalFormatting sqref="X38:X41">
    <cfRule type="expression" dxfId="396" priority="142">
      <formula>IF(LEN(W38)&gt;0,IF(X38&lt;&gt;D38,TRUE,FALSE),FALSE)</formula>
    </cfRule>
  </conditionalFormatting>
  <conditionalFormatting sqref="X38:Y41">
    <cfRule type="containsErrors" dxfId="395" priority="141">
      <formula>ISERROR(X38)</formula>
    </cfRule>
  </conditionalFormatting>
  <conditionalFormatting sqref="AI38">
    <cfRule type="expression" dxfId="394" priority="139">
      <formula>IF((LEN(AI38)+$A38)=$A38,IF($A38&gt;0,TRUE,FALSE),FALSE)</formula>
    </cfRule>
  </conditionalFormatting>
  <conditionalFormatting sqref="AB41 AD41">
    <cfRule type="containsErrors" dxfId="393" priority="138">
      <formula>ISERROR(AB41)</formula>
    </cfRule>
  </conditionalFormatting>
  <conditionalFormatting sqref="AC41 AE41">
    <cfRule type="expression" dxfId="392" priority="137">
      <formula>IF((LEN(AC41)+$A41)=$A41,IF($A41&gt;0,TRUE,FALSE),FALSE)</formula>
    </cfRule>
  </conditionalFormatting>
  <conditionalFormatting sqref="AH39:AH41">
    <cfRule type="containsErrors" dxfId="391" priority="136">
      <formula>ISERROR(AH39)</formula>
    </cfRule>
  </conditionalFormatting>
  <conditionalFormatting sqref="AJ39:AK41">
    <cfRule type="expression" dxfId="390" priority="135">
      <formula>IF((LEN(AJ39)+$A39)=$A39,IF($A39&gt;0,TRUE,FALSE),FALSE)</formula>
    </cfRule>
  </conditionalFormatting>
  <conditionalFormatting sqref="I38">
    <cfRule type="expression" dxfId="389" priority="133">
      <formula>IF((LEN(I38)+$A38)=$A38,IF($A38&gt;0,TRUE,FALSE),FALSE)</formula>
    </cfRule>
  </conditionalFormatting>
  <conditionalFormatting sqref="AH42 B42:C45 F42:H45 K42:K45 M42:M45 O42:O45 Q42:Q45 U42:U45 S42:S45 AD42:AD44 AB42:AB44 AV42:AV45 AX42:AX45">
    <cfRule type="containsErrors" dxfId="388" priority="130">
      <formula>ISERROR(B42)</formula>
    </cfRule>
  </conditionalFormatting>
  <conditionalFormatting sqref="C42:C45">
    <cfRule type="containsBlanks" dxfId="387" priority="124">
      <formula>LEN(TRIM(C42))=0</formula>
    </cfRule>
    <cfRule type="cellIs" dxfId="386" priority="125" operator="notEqual">
      <formula>$C$1</formula>
    </cfRule>
  </conditionalFormatting>
  <conditionalFormatting sqref="J42:J45">
    <cfRule type="expression" dxfId="385" priority="129">
      <formula>LEN(J42)&gt;(MID($J$3,1,FIND(" ",$J$3)-1)*1)</formula>
    </cfRule>
  </conditionalFormatting>
  <conditionalFormatting sqref="Z43:AA45 AF42:AG45 T42:T45 V42:V45 AM42:AT45">
    <cfRule type="expression" dxfId="384" priority="128">
      <formula>LEN(T42)&gt;(MID(T$3,1,FIND(" ",T$3)-1)*1)</formula>
    </cfRule>
  </conditionalFormatting>
  <conditionalFormatting sqref="C42:C45">
    <cfRule type="containsBlanks" dxfId="383" priority="127">
      <formula>LEN(TRIM(C42))=0</formula>
    </cfRule>
  </conditionalFormatting>
  <conditionalFormatting sqref="AU42:AU45 Z43:Z45 AJ42:AK42 L42:L45 N42:N45 P42:P45 R42:R45 T42:T45 V42:V45 AE42:AE44 AC42:AC44 AY42:AY45 AW42:AW45 I43:I45 D42:D45">
    <cfRule type="expression" dxfId="382" priority="126">
      <formula>IF((LEN(D42)+$A42)=$A42,IF($A42&gt;0,TRUE,FALSE),FALSE)</formula>
    </cfRule>
  </conditionalFormatting>
  <conditionalFormatting sqref="X42:X45">
    <cfRule type="expression" dxfId="381" priority="123">
      <formula>IF(LEN(W42)&gt;0,IF(X42&lt;&gt;D42,TRUE,FALSE),FALSE)</formula>
    </cfRule>
  </conditionalFormatting>
  <conditionalFormatting sqref="X42:Y45">
    <cfRule type="containsErrors" dxfId="380" priority="122">
      <formula>ISERROR(X42)</formula>
    </cfRule>
  </conditionalFormatting>
  <conditionalFormatting sqref="AI42">
    <cfRule type="expression" dxfId="379" priority="120">
      <formula>IF((LEN(AI42)+$A42)=$A42,IF($A42&gt;0,TRUE,FALSE),FALSE)</formula>
    </cfRule>
  </conditionalFormatting>
  <conditionalFormatting sqref="AB45 AD45">
    <cfRule type="containsErrors" dxfId="378" priority="119">
      <formula>ISERROR(AB45)</formula>
    </cfRule>
  </conditionalFormatting>
  <conditionalFormatting sqref="AC45 AE45">
    <cfRule type="expression" dxfId="377" priority="118">
      <formula>IF((LEN(AC45)+$A45)=$A45,IF($A45&gt;0,TRUE,FALSE),FALSE)</formula>
    </cfRule>
  </conditionalFormatting>
  <conditionalFormatting sqref="AH43:AH45">
    <cfRule type="containsErrors" dxfId="376" priority="117">
      <formula>ISERROR(AH43)</formula>
    </cfRule>
  </conditionalFormatting>
  <conditionalFormatting sqref="AJ43:AL45">
    <cfRule type="expression" dxfId="375" priority="116">
      <formula>IF((LEN(AJ43)+$A43)=$A43,IF($A43&gt;0,TRUE,FALSE),FALSE)</formula>
    </cfRule>
  </conditionalFormatting>
  <conditionalFormatting sqref="AI43:AI45">
    <cfRule type="expression" dxfId="374" priority="115">
      <formula>IF((LEN(AI43)+$A43)=$A43,IF($A43&gt;0,TRUE,FALSE),FALSE)</formula>
    </cfRule>
  </conditionalFormatting>
  <conditionalFormatting sqref="I42">
    <cfRule type="expression" dxfId="373" priority="114">
      <formula>IF((LEN(I42)+$A42)=$A42,IF($A42&gt;0,TRUE,FALSE),FALSE)</formula>
    </cfRule>
  </conditionalFormatting>
  <conditionalFormatting sqref="I46:I48">
    <cfRule type="expression" dxfId="372" priority="107">
      <formula>IF((LEN(I46)+$A46)=$A46,IF($A46&gt;0,TRUE,FALSE),FALSE)</formula>
    </cfRule>
  </conditionalFormatting>
  <conditionalFormatting sqref="AB48 AD48">
    <cfRule type="containsErrors" dxfId="371" priority="100">
      <formula>ISERROR(AB48)</formula>
    </cfRule>
  </conditionalFormatting>
  <conditionalFormatting sqref="AC48 AE48">
    <cfRule type="expression" dxfId="370" priority="99">
      <formula>IF((LEN(AC48)+$A48)=$A48,IF($A48&gt;0,TRUE,FALSE),FALSE)</formula>
    </cfRule>
  </conditionalFormatting>
  <conditionalFormatting sqref="AH46:AH48">
    <cfRule type="containsErrors" dxfId="369" priority="98">
      <formula>ISERROR(AH46)</formula>
    </cfRule>
  </conditionalFormatting>
  <conditionalFormatting sqref="AJ46:AK48">
    <cfRule type="expression" dxfId="368" priority="97">
      <formula>IF((LEN(AJ46)+$A46)=$A46,IF($A46&gt;0,TRUE,FALSE),FALSE)</formula>
    </cfRule>
  </conditionalFormatting>
  <conditionalFormatting sqref="AI46:AI48">
    <cfRule type="expression" dxfId="367" priority="96">
      <formula>IF((LEN(AI46)+$A46)=$A46,IF($A46&gt;0,TRUE,FALSE),FALSE)</formula>
    </cfRule>
  </conditionalFormatting>
  <conditionalFormatting sqref="Z39:AA42">
    <cfRule type="expression" dxfId="366" priority="94">
      <formula>LEN(Z39)&gt;(MID(Z$3,1,FIND(" ",Z$3)-1)*1)</formula>
    </cfRule>
  </conditionalFormatting>
  <conditionalFormatting sqref="Z39:Z42">
    <cfRule type="expression" dxfId="365" priority="93">
      <formula>IF((LEN(Z39)+$A39)=$A39,IF($A39&gt;0,TRUE,FALSE),FALSE)</formula>
    </cfRule>
  </conditionalFormatting>
  <conditionalFormatting sqref="AL39:AL42">
    <cfRule type="expression" dxfId="364" priority="92">
      <formula>IF((LEN(AL39)+$A39)=$A39,IF($A39&gt;0,TRUE,FALSE),FALSE)</formula>
    </cfRule>
  </conditionalFormatting>
  <conditionalFormatting sqref="AF8:AG8 AM8:AT8 T8 V8">
    <cfRule type="expression" dxfId="363" priority="58">
      <formula>LEN(T8)&gt;(MID(T$3,1,FIND(" ",T$3)-1)*1)</formula>
    </cfRule>
  </conditionalFormatting>
  <conditionalFormatting sqref="AJ8:AK8">
    <cfRule type="expression" dxfId="362" priority="50">
      <formula>IF((LEN(AJ8)+$A8)=$A8,IF($A8&gt;0,TRUE,FALSE),FALSE)</formula>
    </cfRule>
  </conditionalFormatting>
  <conditionalFormatting sqref="AB12:AB13 AD12:AD13 B5:C13">
    <cfRule type="containsErrors" dxfId="361" priority="38">
      <formula>ISERROR(B5)</formula>
    </cfRule>
  </conditionalFormatting>
  <conditionalFormatting sqref="F5:H5 U5 S5 M5 K5 AX5 O5 Q5 AH5 AD5 AV5 AB5 F13:G13">
    <cfRule type="containsErrors" dxfId="360" priority="82">
      <formula>ISERROR(F5)</formula>
    </cfRule>
  </conditionalFormatting>
  <conditionalFormatting sqref="C5:C13">
    <cfRule type="containsBlanks" dxfId="359" priority="76">
      <formula>LEN(TRIM(C5))=0</formula>
    </cfRule>
    <cfRule type="cellIs" dxfId="358" priority="77" operator="notEqual">
      <formula>$C$1</formula>
    </cfRule>
  </conditionalFormatting>
  <conditionalFormatting sqref="J5 J13">
    <cfRule type="expression" dxfId="357" priority="81">
      <formula>LEN(J5)&gt;(MID($J$3,1,FIND(" ",$J$3)-1)*1)</formula>
    </cfRule>
  </conditionalFormatting>
  <conditionalFormatting sqref="AM5:AT5 V5 AF5:AG5 T5 AF13:AG13 AN13:AO13 AQ13:AT13">
    <cfRule type="expression" dxfId="356" priority="80">
      <formula>LEN(T5)&gt;(MID(T$3,1,FIND(" ",T$3)-1)*1)</formula>
    </cfRule>
  </conditionalFormatting>
  <conditionalFormatting sqref="C5:C13">
    <cfRule type="containsBlanks" dxfId="355" priority="79">
      <formula>LEN(TRIM(C5))=0</formula>
    </cfRule>
  </conditionalFormatting>
  <conditionalFormatting sqref="AI5:AK5 AU5 V5 I5 AY5 AW5 AE5 AC5 R5 P5 N5 L5 T5">
    <cfRule type="expression" dxfId="354" priority="78">
      <formula>IF((LEN(I5)+$A5)=$A5,IF($A5&gt;0,TRUE,FALSE),FALSE)</formula>
    </cfRule>
  </conditionalFormatting>
  <conditionalFormatting sqref="X5">
    <cfRule type="expression" dxfId="353" priority="75">
      <formula>IF(LEN(W5)&gt;0,IF(X5&lt;&gt;D5,TRUE,FALSE),FALSE)</formula>
    </cfRule>
  </conditionalFormatting>
  <conditionalFormatting sqref="X5:Y5 X13:Y13">
    <cfRule type="containsErrors" dxfId="352" priority="74">
      <formula>ISERROR(X5)</formula>
    </cfRule>
  </conditionalFormatting>
  <conditionalFormatting sqref="M6:M7 K6:K7 O6:O7 Q6:Q7 S6:S7 AB6:AB7 AD6:AD7 AH6:AH7 AV6:AV7 AX6:AX7 F6:H7">
    <cfRule type="containsErrors" dxfId="351" priority="72">
      <formula>ISERROR(F6)</formula>
    </cfRule>
  </conditionalFormatting>
  <conditionalFormatting sqref="J6:J7">
    <cfRule type="expression" dxfId="350" priority="71">
      <formula>LEN(J6)&gt;(MID($J$3,1,FIND(" ",$J$3)-1)*1)</formula>
    </cfRule>
  </conditionalFormatting>
  <conditionalFormatting sqref="I6:I7 R6:R7 P6:P7 N6:N7 L6:L7">
    <cfRule type="expression" dxfId="349" priority="70">
      <formula>IF((LEN(I6)+$A6)=$A6,IF($A6&gt;0,TRUE,FALSE),FALSE)</formula>
    </cfRule>
  </conditionalFormatting>
  <conditionalFormatting sqref="X6:X7">
    <cfRule type="expression" dxfId="348" priority="69">
      <formula>IF(LEN(W6)&gt;0,IF(X6&lt;&gt;D6,TRUE,FALSE),FALSE)</formula>
    </cfRule>
  </conditionalFormatting>
  <conditionalFormatting sqref="X6:Y7">
    <cfRule type="containsErrors" dxfId="347" priority="68">
      <formula>ISERROR(X6)</formula>
    </cfRule>
  </conditionalFormatting>
  <conditionalFormatting sqref="AM6:AM7">
    <cfRule type="expression" dxfId="346" priority="67">
      <formula>LEN(AM6)&gt;(MID(AM$3,1,FIND(" ",AM$3)-1)*1)</formula>
    </cfRule>
  </conditionalFormatting>
  <conditionalFormatting sqref="U6:U7">
    <cfRule type="containsErrors" dxfId="345" priority="66">
      <formula>ISERROR(U6)</formula>
    </cfRule>
  </conditionalFormatting>
  <conditionalFormatting sqref="AF6:AG7 V6:V7 AN6:AT7">
    <cfRule type="expression" dxfId="344" priority="65">
      <formula>LEN(V6)&gt;(MID(V$3,1,FIND(" ",V$3)-1)*1)</formula>
    </cfRule>
  </conditionalFormatting>
  <conditionalFormatting sqref="V6:V7 AC6:AC7 AE6:AE7 AW6:AW7 AY6:AY7 AI6:AK7">
    <cfRule type="expression" dxfId="343" priority="64">
      <formula>IF((LEN(V6)+$A6)=$A6,IF($A6&gt;0,TRUE,FALSE),FALSE)</formula>
    </cfRule>
  </conditionalFormatting>
  <conditionalFormatting sqref="T6:T7">
    <cfRule type="expression" dxfId="342" priority="62">
      <formula>IF((LEN(T6)+$A6)=$A6,IF($A6&gt;0,TRUE,FALSE),FALSE)</formula>
    </cfRule>
  </conditionalFormatting>
  <conditionalFormatting sqref="AU6:AU7">
    <cfRule type="expression" dxfId="341" priority="61">
      <formula>IF((LEN(AU6)+$A6)=$A6,IF($A6&gt;0,TRUE,FALSE),FALSE)</formula>
    </cfRule>
  </conditionalFormatting>
  <conditionalFormatting sqref="F8:H8 K8 M8 O8 Q8 U8 S8">
    <cfRule type="containsErrors" dxfId="340" priority="60">
      <formula>ISERROR(F8)</formula>
    </cfRule>
  </conditionalFormatting>
  <conditionalFormatting sqref="J8">
    <cfRule type="expression" dxfId="339" priority="59">
      <formula>LEN(J8)&gt;(MID($J$3,1,FIND(" ",$J$3)-1)*1)</formula>
    </cfRule>
  </conditionalFormatting>
  <conditionalFormatting sqref="AU8 L8 R8 P8 N8 T8 V8">
    <cfRule type="expression" dxfId="338" priority="57">
      <formula>IF((LEN(L8)+$A8)=$A8,IF($A8&gt;0,TRUE,FALSE),FALSE)</formula>
    </cfRule>
  </conditionalFormatting>
  <conditionalFormatting sqref="X8">
    <cfRule type="expression" dxfId="337" priority="56">
      <formula>IF(LEN(W8)&gt;0,IF(X8&lt;&gt;D8,TRUE,FALSE),FALSE)</formula>
    </cfRule>
  </conditionalFormatting>
  <conditionalFormatting sqref="X8:Y8">
    <cfRule type="containsErrors" dxfId="336" priority="55">
      <formula>ISERROR(X8)</formula>
    </cfRule>
  </conditionalFormatting>
  <conditionalFormatting sqref="AB8 AD8">
    <cfRule type="containsErrors" dxfId="335" priority="53">
      <formula>ISERROR(AB8)</formula>
    </cfRule>
  </conditionalFormatting>
  <conditionalFormatting sqref="AC8 AE8">
    <cfRule type="expression" dxfId="334" priority="52">
      <formula>IF((LEN(AC8)+$A8)=$A8,IF($A8&gt;0,TRUE,FALSE),FALSE)</formula>
    </cfRule>
  </conditionalFormatting>
  <conditionalFormatting sqref="AH8">
    <cfRule type="containsErrors" dxfId="333" priority="51">
      <formula>ISERROR(AH8)</formula>
    </cfRule>
  </conditionalFormatting>
  <conditionalFormatting sqref="AI8">
    <cfRule type="expression" dxfId="332" priority="49">
      <formula>IF((LEN(AI8)+$A8)=$A8,IF($A8&gt;0,TRUE,FALSE),FALSE)</formula>
    </cfRule>
  </conditionalFormatting>
  <conditionalFormatting sqref="AV8 AX8">
    <cfRule type="containsErrors" dxfId="331" priority="48">
      <formula>ISERROR(AV8)</formula>
    </cfRule>
  </conditionalFormatting>
  <conditionalFormatting sqref="AW8 AY8">
    <cfRule type="expression" dxfId="330" priority="47">
      <formula>IF((LEN(AW8)+$A8)=$A8,IF($A8&gt;0,TRUE,FALSE),FALSE)</formula>
    </cfRule>
  </conditionalFormatting>
  <conditionalFormatting sqref="AH9 F9:H12 AD9:AD11 AB9:AB11 H13 K9:K13 M9:M13 O9:O13 Q9:Q13 U9:U13 S9:S13 AV9:AV13 AX9:AX13">
    <cfRule type="containsErrors" dxfId="329" priority="46">
      <formula>ISERROR(F9)</formula>
    </cfRule>
  </conditionalFormatting>
  <conditionalFormatting sqref="J9:J12">
    <cfRule type="expression" dxfId="328" priority="45">
      <formula>LEN(J9)&gt;(MID($J$3,1,FIND(" ",$J$3)-1)*1)</formula>
    </cfRule>
  </conditionalFormatting>
  <conditionalFormatting sqref="AF9:AG12 AM9:AT12 T9:T13 V9:V13 AM13 AP13">
    <cfRule type="expression" dxfId="327" priority="44">
      <formula>LEN(T9)&gt;(MID(T$3,1,FIND(" ",T$3)-1)*1)</formula>
    </cfRule>
  </conditionalFormatting>
  <conditionalFormatting sqref="AU9:AU12 AJ9:AK9 N9:N12 AE9:AE11 AC9:AC11 AW9:AW13">
    <cfRule type="expression" dxfId="326" priority="43">
      <formula>IF((LEN(N9)+$A9)=$A9,IF($A9&gt;0,TRUE,FALSE),FALSE)</formula>
    </cfRule>
  </conditionalFormatting>
  <conditionalFormatting sqref="X9:X12">
    <cfRule type="expression" dxfId="325" priority="42">
      <formula>IF(LEN(W9)&gt;0,IF(X9&lt;&gt;D9,TRUE,FALSE),FALSE)</formula>
    </cfRule>
  </conditionalFormatting>
  <conditionalFormatting sqref="X9:Y12">
    <cfRule type="containsErrors" dxfId="324" priority="41">
      <formula>ISERROR(X9)</formula>
    </cfRule>
  </conditionalFormatting>
  <conditionalFormatting sqref="AI9">
    <cfRule type="expression" dxfId="323" priority="39">
      <formula>IF((LEN(AI9)+$A9)=$A9,IF($A9&gt;0,TRUE,FALSE),FALSE)</formula>
    </cfRule>
  </conditionalFormatting>
  <conditionalFormatting sqref="AH10:AH12">
    <cfRule type="containsErrors" dxfId="322" priority="36">
      <formula>ISERROR(AH10)</formula>
    </cfRule>
  </conditionalFormatting>
  <conditionalFormatting sqref="AJ10:AK12">
    <cfRule type="expression" dxfId="321" priority="35">
      <formula>IF((LEN(AJ10)+$A10)=$A10,IF($A10&gt;0,TRUE,FALSE),FALSE)</formula>
    </cfRule>
  </conditionalFormatting>
  <conditionalFormatting sqref="AI10:AI12">
    <cfRule type="expression" dxfId="320" priority="34">
      <formula>IF((LEN(AI10)+$A10)=$A10,IF($A10&gt;0,TRUE,FALSE),FALSE)</formula>
    </cfRule>
  </conditionalFormatting>
  <conditionalFormatting sqref="AH13">
    <cfRule type="containsErrors" dxfId="319" priority="32">
      <formula>ISERROR(AH13)</formula>
    </cfRule>
  </conditionalFormatting>
  <conditionalFormatting sqref="A6">
    <cfRule type="cellIs" dxfId="318" priority="83" operator="equal">
      <formula>0</formula>
    </cfRule>
    <cfRule type="duplicateValues" dxfId="317" priority="84"/>
  </conditionalFormatting>
  <conditionalFormatting sqref="A5">
    <cfRule type="cellIs" dxfId="316" priority="85" operator="equal">
      <formula>0</formula>
    </cfRule>
    <cfRule type="duplicateValues" dxfId="315" priority="86"/>
  </conditionalFormatting>
  <conditionalFormatting sqref="Z5:AA13">
    <cfRule type="expression" dxfId="314" priority="29">
      <formula>LEN(Z5)&gt;(MID(Z$3,1,FIND(" ",Z$3)-1)*1)</formula>
    </cfRule>
  </conditionalFormatting>
  <conditionalFormatting sqref="A4">
    <cfRule type="cellIs" dxfId="313" priority="1071" operator="equal">
      <formula>0</formula>
    </cfRule>
    <cfRule type="duplicateValues" dxfId="312" priority="1072"/>
  </conditionalFormatting>
  <conditionalFormatting sqref="A7:A13">
    <cfRule type="cellIs" dxfId="311" priority="1420" operator="equal">
      <formula>0</formula>
    </cfRule>
    <cfRule type="duplicateValues" dxfId="310" priority="1421"/>
  </conditionalFormatting>
  <conditionalFormatting sqref="AB14 AD14 B14:C14">
    <cfRule type="containsErrors" dxfId="309" priority="10">
      <formula>ISERROR(B14)</formula>
    </cfRule>
  </conditionalFormatting>
  <conditionalFormatting sqref="F14:G14">
    <cfRule type="containsErrors" dxfId="308" priority="23">
      <formula>ISERROR(F14)</formula>
    </cfRule>
  </conditionalFormatting>
  <conditionalFormatting sqref="C14">
    <cfRule type="containsBlanks" dxfId="307" priority="17">
      <formula>LEN(TRIM(C14))=0</formula>
    </cfRule>
    <cfRule type="cellIs" dxfId="306" priority="18" operator="notEqual">
      <formula>$C$1</formula>
    </cfRule>
  </conditionalFormatting>
  <conditionalFormatting sqref="J14">
    <cfRule type="expression" dxfId="305" priority="22">
      <formula>LEN(J14)&gt;(MID($J$3,1,FIND(" ",$J$3)-1)*1)</formula>
    </cfRule>
  </conditionalFormatting>
  <conditionalFormatting sqref="AF14:AG14 AN14:AO14 AQ14:AT14">
    <cfRule type="expression" dxfId="304" priority="21">
      <formula>LEN(AF14)&gt;(MID(AF$3,1,FIND(" ",AF$3)-1)*1)</formula>
    </cfRule>
  </conditionalFormatting>
  <conditionalFormatting sqref="C14">
    <cfRule type="containsBlanks" dxfId="303" priority="20">
      <formula>LEN(TRIM(C14))=0</formula>
    </cfRule>
  </conditionalFormatting>
  <conditionalFormatting sqref="AU14 AW14 N14">
    <cfRule type="expression" dxfId="302" priority="19">
      <formula>IF((LEN(N14)+$A14)=$A14,IF($A14&gt;0,TRUE,FALSE),FALSE)</formula>
    </cfRule>
  </conditionalFormatting>
  <conditionalFormatting sqref="X14">
    <cfRule type="expression" dxfId="301" priority="16">
      <formula>IF(LEN(W14)&gt;0,IF(X14&lt;&gt;D14,TRUE,FALSE),FALSE)</formula>
    </cfRule>
  </conditionalFormatting>
  <conditionalFormatting sqref="X14:Y14">
    <cfRule type="containsErrors" dxfId="300" priority="15">
      <formula>ISERROR(X14)</formula>
    </cfRule>
  </conditionalFormatting>
  <conditionalFormatting sqref="BP14:BW14">
    <cfRule type="expression" dxfId="299" priority="14">
      <formula>IF(BP$3=$AV14,TRUE,FALSE)</formula>
    </cfRule>
  </conditionalFormatting>
  <conditionalFormatting sqref="H14 K14 M14 O14 Q14 U14 S14 AV14 AX14">
    <cfRule type="containsErrors" dxfId="298" priority="13">
      <formula>ISERROR(H14)</formula>
    </cfRule>
  </conditionalFormatting>
  <conditionalFormatting sqref="T14 V14 AM14 AP14">
    <cfRule type="expression" dxfId="297" priority="12">
      <formula>LEN(T14)&gt;(MID(T$3,1,FIND(" ",T$3)-1)*1)</formula>
    </cfRule>
  </conditionalFormatting>
  <conditionalFormatting sqref="L14 P14 R14 T14 V14 AY14">
    <cfRule type="expression" dxfId="296" priority="11">
      <formula>IF((LEN(L14)+$A14)=$A14,IF($A14&gt;0,TRUE,FALSE),FALSE)</formula>
    </cfRule>
  </conditionalFormatting>
  <conditionalFormatting sqref="AC14 AE14">
    <cfRule type="expression" dxfId="295" priority="9">
      <formula>IF((LEN(AC14)+$A14)=$A14,IF($A14&gt;0,TRUE,FALSE),FALSE)</formula>
    </cfRule>
  </conditionalFormatting>
  <conditionalFormatting sqref="I14">
    <cfRule type="expression" dxfId="294" priority="8">
      <formula>IF((LEN(I14)+$A14)=$A14,IF($A14&gt;0,TRUE,FALSE),FALSE)</formula>
    </cfRule>
  </conditionalFormatting>
  <conditionalFormatting sqref="AH14">
    <cfRule type="containsErrors" dxfId="293" priority="7">
      <formula>ISERROR(AH14)</formula>
    </cfRule>
  </conditionalFormatting>
  <conditionalFormatting sqref="AJ14:AK14">
    <cfRule type="expression" dxfId="292" priority="6">
      <formula>IF((LEN(AJ14)+$A14)=$A14,IF($A14&gt;0,TRUE,FALSE),FALSE)</formula>
    </cfRule>
  </conditionalFormatting>
  <conditionalFormatting sqref="AI14">
    <cfRule type="expression" dxfId="291" priority="5">
      <formula>IF((LEN(AI14)+$A14)=$A14,IF($A14&gt;0,TRUE,FALSE),FALSE)</formula>
    </cfRule>
  </conditionalFormatting>
  <conditionalFormatting sqref="Z14:AA14">
    <cfRule type="expression" dxfId="290" priority="4">
      <formula>LEN(Z14)&gt;(MID(Z$3,1,FIND(" ",Z$3)-1)*1)</formula>
    </cfRule>
  </conditionalFormatting>
  <conditionalFormatting sqref="Z14">
    <cfRule type="expression" dxfId="289" priority="3">
      <formula>IF((LEN(Z14)+$A14)=$A14,IF($A14&gt;0,TRUE,FALSE),FALSE)</formula>
    </cfRule>
  </conditionalFormatting>
  <conditionalFormatting sqref="A14:A48">
    <cfRule type="cellIs" dxfId="288" priority="1" operator="equal">
      <formula>0</formula>
    </cfRule>
    <cfRule type="duplicateValues" dxfId="287" priority="2"/>
  </conditionalFormatting>
  <dataValidations count="15">
    <dataValidation type="list" allowBlank="1" showInputMessage="1" showErrorMessage="1" sqref="V4:V48">
      <formula1>NDP_Objective</formula1>
    </dataValidation>
    <dataValidation type="list" allowBlank="1" showInputMessage="1" showErrorMessage="1" sqref="T4:T48">
      <formula1>PDO</formula1>
    </dataValidation>
    <dataValidation type="list" allowBlank="1" showInputMessage="1" showErrorMessage="1" sqref="N4:N48">
      <formula1>deptobj</formula1>
    </dataValidation>
    <dataValidation type="list" allowBlank="1" showInputMessage="1" showErrorMessage="1" sqref="P4:P48">
      <formula1>natkpa</formula1>
    </dataValidation>
    <dataValidation type="list" allowBlank="1" showInputMessage="1" showErrorMessage="1" sqref="R4:R48">
      <formula1>munkpa</formula1>
    </dataValidation>
    <dataValidation type="list" allowBlank="1" showInputMessage="1" showErrorMessage="1" sqref="L4:L48">
      <formula1>natout</formula1>
    </dataValidation>
    <dataValidation type="list" allowBlank="1" showInputMessage="1" showErrorMessage="1" sqref="I4:I48">
      <formula1>gfs</formula1>
    </dataValidation>
    <dataValidation type="whole" allowBlank="1" showInputMessage="1" showErrorMessage="1" sqref="E4:E48">
      <formula1>1</formula1>
      <formula2>1001</formula2>
    </dataValidation>
    <dataValidation type="list" allowBlank="1" showInputMessage="1" showErrorMessage="1" sqref="D4:D48">
      <formula1>SubDir</formula1>
    </dataValidation>
    <dataValidation type="list" allowBlank="1" showInputMessage="1" showErrorMessage="1" sqref="AI4:AI48">
      <formula1>riskrate</formula1>
    </dataValidation>
    <dataValidation type="list" allowBlank="1" showInputMessage="1" showErrorMessage="1" sqref="AE4:AE48">
      <formula1>ktype</formula1>
    </dataValidation>
    <dataValidation type="list" allowBlank="1" showInputMessage="1" showErrorMessage="1" sqref="AC4:AC48">
      <formula1>concept</formula1>
    </dataValidation>
    <dataValidation type="list" allowBlank="1" showInputMessage="1" showErrorMessage="1" sqref="AY4:AY48">
      <formula1>targettype</formula1>
    </dataValidation>
    <dataValidation type="list" allowBlank="1" showInputMessage="1" showErrorMessage="1" sqref="AW4:AW48">
      <formula1>calctype</formula1>
    </dataValidation>
    <dataValidation type="list" allowBlank="1" showInputMessage="1" showErrorMessage="1" sqref="AL4:AL48">
      <formula1>driver</formula1>
    </dataValidation>
  </dataValidations>
  <pageMargins left="0.25" right="0.25" top="0.75" bottom="0.75" header="0.3" footer="0.3"/>
  <pageSetup paperSize="9" scale="30" fitToHeight="100" orientation="landscape" r:id="rId1"/>
  <headerFooter>
    <oddHeader>&amp;L&amp;"-,Bold"&amp;A&amp;C&amp;"-,Bold"Departmental Service Delivery Budget Implementation Plan for 2018/19</oddHeader>
    <oddFooter>&amp;R&amp;"-,Bold"Page|&amp;P/&amp;N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'1. Lists'!$A$3:$A$26</xm:f>
          </x14:formula1>
          <xm:sqref>C1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H60"/>
  <sheetViews>
    <sheetView zoomScale="70" zoomScaleNormal="70" workbookViewId="0">
      <pane ySplit="3" topLeftCell="A4" activePane="bottomLeft" state="frozen"/>
      <selection activeCell="A2" sqref="A1:XFD1048576"/>
      <selection pane="bottomLeft" activeCell="Z9" sqref="Z9"/>
    </sheetView>
  </sheetViews>
  <sheetFormatPr defaultColWidth="9.140625" defaultRowHeight="15" x14ac:dyDescent="0.25"/>
  <cols>
    <col min="1" max="1" width="7.85546875" style="92" customWidth="1"/>
    <col min="2" max="2" width="8.140625" style="66" hidden="1" customWidth="1"/>
    <col min="3" max="3" width="20.85546875" style="66" hidden="1" customWidth="1"/>
    <col min="4" max="4" width="24.5703125" style="63" customWidth="1"/>
    <col min="5" max="5" width="9.28515625" style="64" hidden="1" customWidth="1"/>
    <col min="6" max="6" width="14.85546875" style="64" hidden="1" customWidth="1"/>
    <col min="7" max="7" width="24.5703125" style="65" hidden="1" customWidth="1"/>
    <col min="8" max="8" width="5.5703125" style="66" hidden="1" customWidth="1"/>
    <col min="9" max="9" width="56.7109375" style="67" hidden="1" customWidth="1"/>
    <col min="10" max="10" width="15.28515625" style="68" hidden="1" customWidth="1"/>
    <col min="11" max="11" width="5.5703125" style="66" hidden="1" customWidth="1"/>
    <col min="12" max="12" width="27.28515625" style="69" hidden="1" customWidth="1"/>
    <col min="13" max="13" width="5.5703125" style="70" hidden="1" customWidth="1"/>
    <col min="14" max="14" width="27.42578125" style="71" customWidth="1"/>
    <col min="15" max="15" width="5.5703125" style="66" hidden="1" customWidth="1"/>
    <col min="16" max="16" width="24" style="72" hidden="1" customWidth="1"/>
    <col min="17" max="17" width="5.5703125" style="73" hidden="1" customWidth="1"/>
    <col min="18" max="18" width="29.140625" style="74" hidden="1" customWidth="1"/>
    <col min="19" max="19" width="5.5703125" style="73" hidden="1" customWidth="1"/>
    <col min="20" max="20" width="32.28515625" style="75" hidden="1" customWidth="1"/>
    <col min="21" max="21" width="5.5703125" style="76" hidden="1" customWidth="1"/>
    <col min="22" max="22" width="32.28515625" style="75" hidden="1" customWidth="1"/>
    <col min="23" max="23" width="9.85546875" style="77" hidden="1" customWidth="1"/>
    <col min="24" max="24" width="20.140625" style="78" hidden="1" customWidth="1"/>
    <col min="25" max="25" width="29.28515625" style="78" hidden="1" customWidth="1"/>
    <col min="26" max="26" width="40.5703125" style="75" customWidth="1"/>
    <col min="27" max="27" width="48.5703125" style="75" customWidth="1"/>
    <col min="28" max="28" width="6.7109375" style="66" hidden="1" customWidth="1"/>
    <col min="29" max="29" width="14.7109375" style="68" hidden="1" customWidth="1"/>
    <col min="30" max="30" width="6.5703125" style="66" hidden="1" customWidth="1"/>
    <col min="31" max="32" width="22.28515625" style="68" hidden="1" customWidth="1"/>
    <col min="33" max="33" width="45.7109375" style="68" hidden="1" customWidth="1"/>
    <col min="34" max="34" width="5.5703125" style="66" hidden="1" customWidth="1"/>
    <col min="35" max="35" width="24.85546875" style="68" hidden="1" customWidth="1"/>
    <col min="36" max="37" width="18" style="68" hidden="1" customWidth="1"/>
    <col min="38" max="38" width="22.85546875" style="71" customWidth="1"/>
    <col min="39" max="39" width="28.28515625" style="68" customWidth="1"/>
    <col min="40" max="40" width="28.28515625" style="68" hidden="1" customWidth="1"/>
    <col min="41" max="42" width="28.28515625" style="68" customWidth="1"/>
    <col min="43" max="46" width="28.28515625" style="68" hidden="1" customWidth="1"/>
    <col min="47" max="47" width="21.42578125" style="63" hidden="1" customWidth="1"/>
    <col min="48" max="48" width="5.5703125" style="80" hidden="1" customWidth="1"/>
    <col min="49" max="49" width="19.140625" style="63" hidden="1" customWidth="1"/>
    <col min="50" max="50" width="5.5703125" style="80" hidden="1" customWidth="1"/>
    <col min="51" max="51" width="19.140625" style="63" bestFit="1" customWidth="1"/>
    <col min="52" max="52" width="13.42578125" style="81" bestFit="1" customWidth="1"/>
    <col min="53" max="53" width="14.140625" style="82" hidden="1" customWidth="1"/>
    <col min="54" max="54" width="2.28515625" style="66" customWidth="1"/>
    <col min="55" max="66" width="14.5703125" style="83" customWidth="1"/>
    <col min="67" max="86" width="9.140625" style="66" hidden="1" customWidth="1"/>
    <col min="87" max="89" width="9.140625" style="66" customWidth="1"/>
    <col min="90" max="16384" width="9.140625" style="66"/>
  </cols>
  <sheetData>
    <row r="1" spans="1:75" ht="30" hidden="1" x14ac:dyDescent="0.25">
      <c r="A1" s="60" t="str">
        <f>top_dirid</f>
        <v>Directorate [R]</v>
      </c>
      <c r="B1" s="61"/>
      <c r="C1" s="62" t="s">
        <v>360</v>
      </c>
    </row>
    <row r="2" spans="1:75" s="84" customFormat="1" ht="31.9" customHeight="1" x14ac:dyDescent="0.25">
      <c r="A2" s="84" t="s">
        <v>179</v>
      </c>
      <c r="B2" s="424" t="str">
        <f>kpi_subid</f>
        <v>Sub-Directorate [R]</v>
      </c>
      <c r="C2" s="424"/>
      <c r="D2" s="424"/>
      <c r="E2" s="422" t="str">
        <f>kpi_topid</f>
        <v>Top Layer KPI</v>
      </c>
      <c r="F2" s="422"/>
      <c r="G2" s="422"/>
      <c r="H2" s="420" t="str">
        <f>kpi_gfsid</f>
        <v>Function [R]</v>
      </c>
      <c r="I2" s="420"/>
      <c r="J2" s="85" t="str">
        <f>kpi_idpref</f>
        <v>IDP Ref</v>
      </c>
      <c r="K2" s="417" t="str">
        <f>kpi_natoutcomeid</f>
        <v>National Outcome [R]</v>
      </c>
      <c r="L2" s="417"/>
      <c r="M2" s="419" t="str">
        <f>kpi_idpid</f>
        <v>IDP Objective [R]</v>
      </c>
      <c r="N2" s="419"/>
      <c r="O2" s="421" t="str">
        <f>kpi_natkpaid</f>
        <v>National KPA [R]</v>
      </c>
      <c r="P2" s="421"/>
      <c r="Q2" s="422" t="str">
        <f>kpi_munkpaid</f>
        <v>Municipal KPA [R]</v>
      </c>
      <c r="R2" s="422"/>
      <c r="S2" s="424" t="str">
        <f>kpi_pdoid</f>
        <v>Pre-determined Objectives [R]</v>
      </c>
      <c r="T2" s="424"/>
      <c r="U2" s="420" t="str">
        <f>kpi_ndpid</f>
        <v>NDP Objective [R]</v>
      </c>
      <c r="V2" s="420"/>
      <c r="W2" s="417" t="str">
        <f>kpi_capitalid</f>
        <v>Capital Project</v>
      </c>
      <c r="X2" s="417"/>
      <c r="Y2" s="417"/>
      <c r="Z2" s="85" t="str">
        <f>kpi_value</f>
        <v>KPI Name [R]</v>
      </c>
      <c r="AA2" s="85" t="str">
        <f>kpi_unit</f>
        <v>Unit of Measurement</v>
      </c>
      <c r="AB2" s="424" t="str">
        <f>kpi_conceptid</f>
        <v>KPI Concept [R]</v>
      </c>
      <c r="AC2" s="424"/>
      <c r="AD2" s="420" t="str">
        <f>kpi_typeid</f>
        <v>KPI Type [R]</v>
      </c>
      <c r="AE2" s="420"/>
      <c r="AF2" s="85" t="str">
        <f>kpi_riskref</f>
        <v>Risk Reg. Ref</v>
      </c>
      <c r="AG2" s="85" t="str">
        <f>kpi_risk</f>
        <v>Risk</v>
      </c>
      <c r="AH2" s="422" t="str">
        <f>kpi_riskratingid</f>
        <v>Provincial Strategic Objectives [R]</v>
      </c>
      <c r="AI2" s="422"/>
      <c r="AJ2" s="86" t="str">
        <f>kpi_wards</f>
        <v>Ward [R]</v>
      </c>
      <c r="AK2" s="87" t="str">
        <f>kpi_area</f>
        <v>Area [R]</v>
      </c>
      <c r="AL2" s="88" t="str">
        <f>kpi_ownerid</f>
        <v>KPI Owner [R]</v>
      </c>
      <c r="AM2" s="85" t="str">
        <f>kpi_baseline</f>
        <v>Baseline</v>
      </c>
      <c r="AN2" s="85" t="str">
        <f>kpi_pyp</f>
        <v>Past Year Performance</v>
      </c>
      <c r="AO2" s="85" t="str">
        <f>kpi_perfstd</f>
        <v>Performance Standard</v>
      </c>
      <c r="AP2" s="85" t="str">
        <f>kpi_poe</f>
        <v>POE</v>
      </c>
      <c r="AQ2" s="85" t="str">
        <f>kpi_mtas</f>
        <v>MTAS Indicator</v>
      </c>
      <c r="AR2" s="85" t="str">
        <f>kpi_new1</f>
        <v>New Text 1</v>
      </c>
      <c r="AS2" s="85" t="str">
        <f>kpi_new2</f>
        <v>New Text 2</v>
      </c>
      <c r="AT2" s="85" t="str">
        <f>kpi_new3</f>
        <v>New Text 3</v>
      </c>
      <c r="AU2" s="90" t="str">
        <f>kpi_repcate</f>
        <v>Reporting Category [R]</v>
      </c>
      <c r="AV2" s="424" t="str">
        <f>kpi_calctype</f>
        <v>KPI Calculation Type [R]</v>
      </c>
      <c r="AW2" s="424"/>
      <c r="AX2" s="420" t="str">
        <f>kpi_targettype</f>
        <v>Target Type [R]</v>
      </c>
      <c r="AY2" s="420"/>
      <c r="AZ2" s="91" t="str">
        <f>kpi_annual</f>
        <v>Annual Target</v>
      </c>
      <c r="BA2" s="85" t="str">
        <f>kpi_revised</f>
        <v>Revised Target</v>
      </c>
      <c r="BC2" s="91" t="str">
        <f>tp_1</f>
        <v>July 2018</v>
      </c>
      <c r="BD2" s="91" t="str">
        <f>tp_2</f>
        <v>August 2018</v>
      </c>
      <c r="BE2" s="91" t="str">
        <f>tp_3</f>
        <v>September 2018</v>
      </c>
      <c r="BF2" s="91" t="str">
        <f>tp_4</f>
        <v>October 2018</v>
      </c>
      <c r="BG2" s="91" t="str">
        <f>tp_5</f>
        <v>November 2018</v>
      </c>
      <c r="BH2" s="91" t="str">
        <f>tp_6</f>
        <v>December 2018</v>
      </c>
      <c r="BI2" s="91" t="str">
        <f>tp_7</f>
        <v>January 2019</v>
      </c>
      <c r="BJ2" s="91" t="str">
        <f>tp_8</f>
        <v>February 2019</v>
      </c>
      <c r="BK2" s="91" t="str">
        <f>tp_9</f>
        <v>March 2019</v>
      </c>
      <c r="BL2" s="91" t="str">
        <f>tp_10</f>
        <v>April 2019</v>
      </c>
      <c r="BM2" s="91" t="str">
        <f>tp_11</f>
        <v>May 2019</v>
      </c>
      <c r="BN2" s="91" t="str">
        <f>tp_12</f>
        <v>June 2019</v>
      </c>
      <c r="BP2" s="416" t="s">
        <v>333</v>
      </c>
      <c r="BQ2" s="416"/>
      <c r="BR2" s="416"/>
      <c r="BS2" s="416"/>
      <c r="BT2" s="416"/>
      <c r="BU2" s="416"/>
      <c r="BV2" s="416"/>
      <c r="BW2" s="416"/>
    </row>
    <row r="3" spans="1:75" s="93" customFormat="1" ht="15" customHeight="1" x14ac:dyDescent="0.25">
      <c r="A3" s="92" t="s">
        <v>0</v>
      </c>
      <c r="B3" s="93" t="s">
        <v>179</v>
      </c>
      <c r="C3" s="93" t="s">
        <v>1</v>
      </c>
      <c r="D3" s="94" t="s">
        <v>94</v>
      </c>
      <c r="E3" s="95" t="s">
        <v>180</v>
      </c>
      <c r="F3" s="96" t="s">
        <v>1</v>
      </c>
      <c r="G3" s="96" t="s">
        <v>95</v>
      </c>
      <c r="H3" s="97" t="s">
        <v>179</v>
      </c>
      <c r="I3" s="98" t="s">
        <v>94</v>
      </c>
      <c r="J3" s="99" t="s">
        <v>103</v>
      </c>
      <c r="K3" s="97" t="s">
        <v>179</v>
      </c>
      <c r="L3" s="100" t="s">
        <v>94</v>
      </c>
      <c r="M3" s="97" t="s">
        <v>179</v>
      </c>
      <c r="N3" s="101" t="s">
        <v>94</v>
      </c>
      <c r="O3" s="97" t="s">
        <v>179</v>
      </c>
      <c r="P3" s="102" t="s">
        <v>94</v>
      </c>
      <c r="Q3" s="97" t="s">
        <v>179</v>
      </c>
      <c r="R3" s="103" t="s">
        <v>94</v>
      </c>
      <c r="S3" s="97" t="s">
        <v>179</v>
      </c>
      <c r="T3" s="104" t="s">
        <v>94</v>
      </c>
      <c r="U3" s="105" t="s">
        <v>179</v>
      </c>
      <c r="V3" s="106" t="s">
        <v>94</v>
      </c>
      <c r="W3" s="107" t="s">
        <v>178</v>
      </c>
      <c r="X3" s="108" t="s">
        <v>99</v>
      </c>
      <c r="Y3" s="108" t="s">
        <v>98</v>
      </c>
      <c r="Z3" s="109" t="s">
        <v>105</v>
      </c>
      <c r="AA3" s="109" t="s">
        <v>168</v>
      </c>
      <c r="AB3" s="97" t="s">
        <v>179</v>
      </c>
      <c r="AC3" s="110" t="s">
        <v>94</v>
      </c>
      <c r="AD3" s="97" t="s">
        <v>179</v>
      </c>
      <c r="AE3" s="111" t="s">
        <v>94</v>
      </c>
      <c r="AF3" s="99" t="s">
        <v>107</v>
      </c>
      <c r="AG3" s="99" t="s">
        <v>106</v>
      </c>
      <c r="AH3" s="97" t="s">
        <v>179</v>
      </c>
      <c r="AI3" s="112" t="s">
        <v>94</v>
      </c>
      <c r="AJ3" s="113" t="s">
        <v>92</v>
      </c>
      <c r="AK3" s="114" t="s">
        <v>181</v>
      </c>
      <c r="AL3" s="101" t="s">
        <v>94</v>
      </c>
      <c r="AM3" s="99" t="s">
        <v>106</v>
      </c>
      <c r="AN3" s="99" t="s">
        <v>106</v>
      </c>
      <c r="AO3" s="99" t="s">
        <v>106</v>
      </c>
      <c r="AP3" s="99" t="s">
        <v>106</v>
      </c>
      <c r="AQ3" s="99" t="s">
        <v>168</v>
      </c>
      <c r="AR3" s="99" t="s">
        <v>168</v>
      </c>
      <c r="AS3" s="99" t="s">
        <v>168</v>
      </c>
      <c r="AT3" s="99" t="s">
        <v>168</v>
      </c>
      <c r="AU3" s="114" t="s">
        <v>182</v>
      </c>
      <c r="AV3" s="93" t="s">
        <v>179</v>
      </c>
      <c r="AW3" s="94" t="s">
        <v>94</v>
      </c>
      <c r="AX3" s="93" t="s">
        <v>179</v>
      </c>
      <c r="AY3" s="98" t="s">
        <v>94</v>
      </c>
      <c r="AZ3" s="116" t="s">
        <v>83</v>
      </c>
      <c r="BA3" s="99" t="s">
        <v>83</v>
      </c>
      <c r="BC3" s="117" t="s">
        <v>83</v>
      </c>
      <c r="BD3" s="117" t="s">
        <v>83</v>
      </c>
      <c r="BE3" s="117" t="s">
        <v>83</v>
      </c>
      <c r="BF3" s="117" t="s">
        <v>83</v>
      </c>
      <c r="BG3" s="117" t="s">
        <v>83</v>
      </c>
      <c r="BH3" s="117" t="s">
        <v>83</v>
      </c>
      <c r="BI3" s="117" t="s">
        <v>83</v>
      </c>
      <c r="BJ3" s="117" t="s">
        <v>83</v>
      </c>
      <c r="BK3" s="117" t="s">
        <v>83</v>
      </c>
      <c r="BL3" s="117" t="s">
        <v>83</v>
      </c>
      <c r="BM3" s="117" t="s">
        <v>83</v>
      </c>
      <c r="BN3" s="117" t="s">
        <v>83</v>
      </c>
      <c r="BP3" s="118" t="s">
        <v>74</v>
      </c>
      <c r="BQ3" s="118" t="s">
        <v>75</v>
      </c>
      <c r="BR3" s="118" t="s">
        <v>76</v>
      </c>
      <c r="BS3" s="118" t="s">
        <v>77</v>
      </c>
      <c r="BT3" s="118" t="s">
        <v>16</v>
      </c>
      <c r="BU3" s="118" t="s">
        <v>134</v>
      </c>
      <c r="BV3" s="118" t="s">
        <v>191</v>
      </c>
      <c r="BW3" s="118" t="s">
        <v>193</v>
      </c>
    </row>
    <row r="4" spans="1:75" ht="60" x14ac:dyDescent="0.25">
      <c r="A4" s="92">
        <v>1</v>
      </c>
      <c r="B4" s="66">
        <f>IF(LEN(D4)&gt;0,VLOOKUP(D4,'1. Lists'!$E$3:$J$52,6,FALSE),"")</f>
        <v>16</v>
      </c>
      <c r="C4" s="66" t="str">
        <f>IF(LEN(D4)&gt;0,VLOOKUP(D4,'1. Lists'!$E$3:$F$52,2,FALSE),"")</f>
        <v>Financial Services</v>
      </c>
      <c r="D4" s="120" t="s">
        <v>374</v>
      </c>
      <c r="E4" s="121"/>
      <c r="F4" s="65" t="str">
        <f>IF(E4&gt;0,VLOOKUP(E4,'2. Top Layer'!$A:$C,3,FALSE),"")</f>
        <v/>
      </c>
      <c r="G4" s="65" t="str">
        <f>IF(E4&gt;0,VLOOKUP(E4,'2. Top Layer'!$A:$T,17,FALSE),"")</f>
        <v/>
      </c>
      <c r="H4" s="66">
        <f>IF(LEN(I4)&gt;0,VLOOKUP(I4,'1. Lists'!$T:$U,2,FALSE),"")</f>
        <v>74</v>
      </c>
      <c r="I4" s="122" t="s">
        <v>439</v>
      </c>
      <c r="J4" s="123"/>
      <c r="K4" s="66">
        <f>IF(LEN(L4)&gt;0,VLOOKUP(L4,'1. Lists'!$AK:$AL,2,FALSE),"")</f>
        <v>9</v>
      </c>
      <c r="L4" s="124" t="s">
        <v>159</v>
      </c>
      <c r="M4" s="70">
        <f>IF(LEN(N4)&gt;0,VLOOKUP(N4,'1. Lists'!$AN:$AQ,4,FALSE),"")</f>
        <v>2</v>
      </c>
      <c r="N4" s="125" t="s">
        <v>382</v>
      </c>
      <c r="O4" s="66">
        <f>IF(LEN(P4)&gt;0,VLOOKUP(P4,'1. Lists'!$AA:$AC,3,FALSE),"")</f>
        <v>4</v>
      </c>
      <c r="P4" s="126" t="s">
        <v>41</v>
      </c>
      <c r="Q4" s="73">
        <f>IF(LEN(R4)&gt;0,VLOOKUP(R4,'1. Lists'!$W:$Y,3,FALSE),"")</f>
        <v>1</v>
      </c>
      <c r="R4" s="127" t="s">
        <v>169</v>
      </c>
      <c r="S4" s="73">
        <f>IF(LEN(T4)&gt;0,VLOOKUP(T4,'1. Lists'!$AH:$AI,2,FALSE),"")</f>
        <v>11</v>
      </c>
      <c r="T4" s="128" t="s">
        <v>396</v>
      </c>
      <c r="U4" s="76">
        <f>IF(LEN(V4)&gt;0,VLOOKUP(V4,'1. Lists'!$AE:$AF,2,FALSE),"")</f>
        <v>11</v>
      </c>
      <c r="V4" s="129" t="s">
        <v>355</v>
      </c>
      <c r="W4" s="130"/>
      <c r="X4" s="131" t="str">
        <f>IF(W4&gt;0,VLOOKUP($W4,'3. Capital'!$A:$J,4,FALSE),"")</f>
        <v/>
      </c>
      <c r="Y4" s="78" t="str">
        <f>IF(W4&gt;0,VLOOKUP($W4,'3. Capital'!$A:$J,10,FALSE),"")</f>
        <v/>
      </c>
      <c r="Z4" s="132" t="s">
        <v>513</v>
      </c>
      <c r="AA4" s="132" t="s">
        <v>514</v>
      </c>
      <c r="AB4" s="66">
        <f>IF(LEN(AC4)&gt;0,VLOOKUP(AC4,'1. Lists'!$AV$3:$AX$7,3,FALSE),"")</f>
        <v>2</v>
      </c>
      <c r="AC4" s="133" t="s">
        <v>13</v>
      </c>
      <c r="AD4" s="66">
        <f>IF(LEN(AE4)&gt;0,VLOOKUP(AE4,'1. Lists'!$AZ$3:$BB$7,3,FALSE),"")</f>
        <v>2</v>
      </c>
      <c r="AE4" s="122" t="s">
        <v>9</v>
      </c>
      <c r="AF4" s="123"/>
      <c r="AG4" s="123"/>
      <c r="AH4" s="66">
        <f>IF(LEN(AI4)&gt;0,VLOOKUP(AI4,'1. Lists'!$BD$3:$BF$15,3,FALSE),"")</f>
        <v>4</v>
      </c>
      <c r="AI4" s="127" t="s">
        <v>339</v>
      </c>
      <c r="AJ4" s="134" t="s">
        <v>68</v>
      </c>
      <c r="AK4" s="135" t="s">
        <v>461</v>
      </c>
      <c r="AL4" s="125" t="s">
        <v>374</v>
      </c>
      <c r="AM4" s="136">
        <v>4</v>
      </c>
      <c r="AN4" s="123"/>
      <c r="AO4" s="137" t="s">
        <v>618</v>
      </c>
      <c r="AP4" s="137" t="s">
        <v>619</v>
      </c>
      <c r="AQ4" s="123"/>
      <c r="AR4" s="123"/>
      <c r="AS4" s="123"/>
      <c r="AT4" s="123"/>
      <c r="AU4" s="135" t="s">
        <v>460</v>
      </c>
      <c r="AV4" s="80" t="str">
        <f>IF(LEN(AW4)&gt;0,VLOOKUP(AW4,'1. Lists'!$BQ:$BR,2,FALSE),"")</f>
        <v>ACC</v>
      </c>
      <c r="AW4" s="133" t="s">
        <v>14</v>
      </c>
      <c r="AX4" s="80">
        <f>IF(LEN(AY4)&gt;0,VLOOKUP(AY4,'1. Lists'!$BU$3:$BW$5,3,FALSE),"")</f>
        <v>3</v>
      </c>
      <c r="AY4" s="138" t="s">
        <v>83</v>
      </c>
      <c r="AZ4" s="139">
        <v>4</v>
      </c>
      <c r="BA4" s="82">
        <f t="shared" ref="BA4:BA14" si="0">IF(LEN(AZ4)&gt;0,AZ4,"")</f>
        <v>4</v>
      </c>
      <c r="BC4" s="141">
        <v>0</v>
      </c>
      <c r="BD4" s="141">
        <v>0</v>
      </c>
      <c r="BE4" s="141">
        <v>1</v>
      </c>
      <c r="BF4" s="141">
        <v>0</v>
      </c>
      <c r="BG4" s="141">
        <v>0</v>
      </c>
      <c r="BH4" s="141">
        <v>1</v>
      </c>
      <c r="BI4" s="141">
        <v>0</v>
      </c>
      <c r="BJ4" s="141">
        <v>0</v>
      </c>
      <c r="BK4" s="141">
        <v>1</v>
      </c>
      <c r="BL4" s="141">
        <v>0</v>
      </c>
      <c r="BM4" s="141">
        <v>0</v>
      </c>
      <c r="BN4" s="141">
        <v>1</v>
      </c>
      <c r="BP4" s="66">
        <f t="shared" ref="BP4:BP14" si="1">MAX(BC4:BN4)</f>
        <v>1</v>
      </c>
      <c r="BQ4" s="66">
        <f t="shared" ref="BQ4:BQ14" si="2">SUM(BC4:BN4)</f>
        <v>4</v>
      </c>
      <c r="BR4" s="66">
        <f t="shared" ref="BR4:BR14" si="3">IF(SUM(BC4:BN4)&gt;0,SUM(BC4:BN4)/COUNTIF(BC4:BN4,"&gt;0"),0)</f>
        <v>1</v>
      </c>
      <c r="BS4" s="66">
        <v>0</v>
      </c>
      <c r="BU4" s="66">
        <f t="shared" ref="BU4:BU14" si="4">IF(SUM(BC4:BN4)&gt;0,SUM(BC4:BN4)/COUNTIF(BC4:BN4,"&gt;0"),0)</f>
        <v>1</v>
      </c>
      <c r="BV4" s="66">
        <f t="shared" ref="BV4:BV14" si="5">IF(BN4&gt;0,BN4,IF(BM4&gt;0,BM4,IF(BL4&gt;0,BL4,IF(BK4&gt;0,BK4,IF(BJ4&gt;0,BJ4,IF(BI4&gt;0,BI4,IF(BH4&gt;0,BH4,IF(BG4&gt;0,BG4,IF(BF4&gt;0,BF4,IF(BE4&gt;0,BE4,IF(BD4&gt;0,BD4,BC4)))))))))))</f>
        <v>1</v>
      </c>
      <c r="BW4" s="66">
        <f t="shared" ref="BW4:BW14" si="6">IF(BN4&gt;0,BN4,IF(BM4&gt;0,BM4,IF(BL4&gt;0,BL4,IF(BK4&gt;0,BK4,IF(BJ4&gt;0,BJ4,IF(BI4&gt;0,BI4,IF(BH4&gt;0,BH4,IF(BG4&gt;0,BG4,IF(BF4&gt;0,BF4,IF(BE4&gt;0,BE4,IF(BD4&gt;0,BD4,BC4)))))))))))</f>
        <v>1</v>
      </c>
    </row>
    <row r="5" spans="1:75" s="80" customFormat="1" ht="75" x14ac:dyDescent="0.25">
      <c r="A5" s="174">
        <f t="shared" ref="A5:A60" si="7">IF(COUNTBLANK(B5:BN5)&lt;65,A4+1,0)</f>
        <v>2</v>
      </c>
      <c r="B5" s="80">
        <f>IF(LEN(D5)&gt;0,VLOOKUP(D5,'1. Lists'!$E$3:$J$52,6,FALSE),"")</f>
        <v>16</v>
      </c>
      <c r="C5" s="80" t="str">
        <f>IF(LEN(D5)&gt;0,VLOOKUP(D5,'1. Lists'!$E$3:$F$52,2,FALSE),"")</f>
        <v>Financial Services</v>
      </c>
      <c r="D5" s="120" t="s">
        <v>374</v>
      </c>
      <c r="E5" s="179"/>
      <c r="F5" s="65" t="str">
        <f>IF(E5&gt;0,VLOOKUP(E5,'2. Top Layer'!$A:$C,3,FALSE),"")</f>
        <v/>
      </c>
      <c r="G5" s="65" t="str">
        <f>IF(E5&gt;0,VLOOKUP(E5,'2. Top Layer'!$A:$T,17,FALSE),"")</f>
        <v/>
      </c>
      <c r="H5" s="80">
        <f>IF(LEN(I5)&gt;0,VLOOKUP(I5,'1. Lists'!$T:$U,2,FALSE),"")</f>
        <v>74</v>
      </c>
      <c r="I5" s="152" t="s">
        <v>439</v>
      </c>
      <c r="J5" s="160"/>
      <c r="K5" s="80">
        <f>IF(LEN(L5)&gt;0,VLOOKUP(L5,'1. Lists'!$AK:$AL,2,FALSE),"")</f>
        <v>9</v>
      </c>
      <c r="L5" s="144" t="s">
        <v>159</v>
      </c>
      <c r="M5" s="168">
        <f>IF(LEN(N5)&gt;0,VLOOKUP(N5,'1. Lists'!$AN:$AQ,4,FALSE),"")</f>
        <v>2</v>
      </c>
      <c r="N5" s="180" t="s">
        <v>382</v>
      </c>
      <c r="O5" s="80">
        <f>IF(LEN(P5)&gt;0,VLOOKUP(P5,'1. Lists'!$AA:$AC,3,FALSE),"")</f>
        <v>5</v>
      </c>
      <c r="P5" s="143" t="s">
        <v>42</v>
      </c>
      <c r="Q5" s="73">
        <f>IF(LEN(R5)&gt;0,VLOOKUP(R5,'1. Lists'!$W:$Y,3,FALSE),"")</f>
        <v>1</v>
      </c>
      <c r="R5" s="142" t="s">
        <v>169</v>
      </c>
      <c r="S5" s="73">
        <f>IF(LEN(T5)&gt;0,VLOOKUP(T5,'1. Lists'!$AH:$AI,2,FALSE),"")</f>
        <v>11</v>
      </c>
      <c r="T5" s="146" t="s">
        <v>396</v>
      </c>
      <c r="U5" s="76">
        <f>IF(LEN(V5)&gt;0,VLOOKUP(V5,'1. Lists'!$AE:$AF,2,FALSE),"")</f>
        <v>11</v>
      </c>
      <c r="V5" s="181" t="s">
        <v>355</v>
      </c>
      <c r="W5" s="182"/>
      <c r="X5" s="183" t="str">
        <f>IF(W5&gt;0,VLOOKUP($W5,#REF!,4,FALSE),"")</f>
        <v/>
      </c>
      <c r="Y5" s="78" t="str">
        <f>IF(W5&gt;0,VLOOKUP($W5,#REF!,10,FALSE),"")</f>
        <v/>
      </c>
      <c r="Z5" s="132" t="s">
        <v>555</v>
      </c>
      <c r="AA5" s="132" t="s">
        <v>482</v>
      </c>
      <c r="AB5" s="80">
        <f>IF(LEN(AC5)&gt;0,VLOOKUP(AC5,'1. Lists'!$AV$3:$AX$7,3,FALSE),"")</f>
        <v>2</v>
      </c>
      <c r="AC5" s="151" t="s">
        <v>13</v>
      </c>
      <c r="AD5" s="80">
        <f>IF(LEN(AE5)&gt;0,VLOOKUP(AE5,'1. Lists'!$AZ$3:$BB$7,3,FALSE),"")</f>
        <v>1</v>
      </c>
      <c r="AE5" s="152" t="s">
        <v>15</v>
      </c>
      <c r="AF5" s="160"/>
      <c r="AG5" s="160"/>
      <c r="AH5" s="80">
        <f>IF(LEN(AI5)&gt;0,VLOOKUP(AI5,'1. Lists'!$BD$3:$BF$15,3,FALSE),"")</f>
        <v>5</v>
      </c>
      <c r="AI5" s="142" t="s">
        <v>340</v>
      </c>
      <c r="AJ5" s="143" t="s">
        <v>68</v>
      </c>
      <c r="AK5" s="144" t="s">
        <v>461</v>
      </c>
      <c r="AL5" s="125" t="s">
        <v>374</v>
      </c>
      <c r="AM5" s="154">
        <v>1</v>
      </c>
      <c r="AN5" s="160"/>
      <c r="AO5" s="184" t="s">
        <v>587</v>
      </c>
      <c r="AP5" s="184" t="s">
        <v>574</v>
      </c>
      <c r="AQ5" s="160"/>
      <c r="AR5" s="160"/>
      <c r="AS5" s="160"/>
      <c r="AT5" s="160"/>
      <c r="AU5" s="144" t="s">
        <v>460</v>
      </c>
      <c r="AV5" s="80" t="str">
        <f>IF(LEN(AW5)&gt;0,VLOOKUP(AW5,'1. Lists'!$BQ:$BR,2,FALSE),"")</f>
        <v>CO</v>
      </c>
      <c r="AW5" s="151" t="s">
        <v>12</v>
      </c>
      <c r="AX5" s="80">
        <f>IF(LEN(AY5)&gt;0,VLOOKUP(AY5,'1. Lists'!$BU$3:$BW$5,3,FALSE),"")</f>
        <v>3</v>
      </c>
      <c r="AY5" s="152" t="s">
        <v>83</v>
      </c>
      <c r="AZ5" s="155">
        <v>1</v>
      </c>
      <c r="BA5" s="159">
        <f t="shared" si="0"/>
        <v>1</v>
      </c>
      <c r="BC5" s="158">
        <v>0</v>
      </c>
      <c r="BD5" s="158">
        <v>0</v>
      </c>
      <c r="BE5" s="158">
        <v>0</v>
      </c>
      <c r="BF5" s="158">
        <v>0</v>
      </c>
      <c r="BG5" s="158">
        <v>0</v>
      </c>
      <c r="BH5" s="158">
        <v>0</v>
      </c>
      <c r="BI5" s="158">
        <v>0</v>
      </c>
      <c r="BJ5" s="158">
        <v>0</v>
      </c>
      <c r="BK5" s="158">
        <v>0</v>
      </c>
      <c r="BL5" s="158">
        <v>0</v>
      </c>
      <c r="BM5" s="158">
        <v>1</v>
      </c>
      <c r="BN5" s="158">
        <v>0</v>
      </c>
      <c r="BP5" s="80">
        <f t="shared" si="1"/>
        <v>1</v>
      </c>
      <c r="BQ5" s="80">
        <f t="shared" si="2"/>
        <v>1</v>
      </c>
      <c r="BR5" s="80">
        <f t="shared" si="3"/>
        <v>1</v>
      </c>
      <c r="BS5" s="80">
        <v>0</v>
      </c>
      <c r="BU5" s="80">
        <f t="shared" si="4"/>
        <v>1</v>
      </c>
      <c r="BV5" s="80">
        <f t="shared" si="5"/>
        <v>1</v>
      </c>
      <c r="BW5" s="80">
        <f t="shared" si="6"/>
        <v>1</v>
      </c>
    </row>
    <row r="6" spans="1:75" s="80" customFormat="1" ht="75" x14ac:dyDescent="0.25">
      <c r="A6" s="174">
        <f t="shared" si="7"/>
        <v>3</v>
      </c>
      <c r="B6" s="80">
        <f>IF(LEN(D6)&gt;0,VLOOKUP(D6,'1. Lists'!$E$3:$J$52,6,FALSE),"")</f>
        <v>16</v>
      </c>
      <c r="C6" s="80" t="str">
        <f>IF(LEN(D6)&gt;0,VLOOKUP(D6,'1. Lists'!$E$3:$F$52,2,FALSE),"")</f>
        <v>Financial Services</v>
      </c>
      <c r="D6" s="120" t="s">
        <v>374</v>
      </c>
      <c r="E6" s="179"/>
      <c r="F6" s="65" t="str">
        <f>IF(E6&gt;0,VLOOKUP(E6,'2. Top Layer'!$A:$C,3,FALSE),"")</f>
        <v/>
      </c>
      <c r="G6" s="65" t="str">
        <f>IF(E6&gt;0,VLOOKUP(E6,'2. Top Layer'!$A:$T,17,FALSE),"")</f>
        <v/>
      </c>
      <c r="H6" s="80">
        <f>IF(LEN(I6)&gt;0,VLOOKUP(I6,'1. Lists'!$T:$U,2,FALSE),"")</f>
        <v>63</v>
      </c>
      <c r="I6" s="152" t="s">
        <v>441</v>
      </c>
      <c r="J6" s="160"/>
      <c r="K6" s="80">
        <f>IF(LEN(L6)&gt;0,VLOOKUP(L6,'1. Lists'!$AK:$AL,2,FALSE),"")</f>
        <v>9</v>
      </c>
      <c r="L6" s="144" t="s">
        <v>159</v>
      </c>
      <c r="M6" s="168">
        <f>IF(LEN(N6)&gt;0,VLOOKUP(N6,'1. Lists'!$AN:$AQ,4,FALSE),"")</f>
        <v>2</v>
      </c>
      <c r="N6" s="180" t="s">
        <v>382</v>
      </c>
      <c r="O6" s="80">
        <f>IF(LEN(P6)&gt;0,VLOOKUP(P6,'1. Lists'!$AA:$AC,3,FALSE),"")</f>
        <v>5</v>
      </c>
      <c r="P6" s="143" t="s">
        <v>42</v>
      </c>
      <c r="Q6" s="73">
        <f>IF(LEN(R6)&gt;0,VLOOKUP(R6,'1. Lists'!$W:$Y,3,FALSE),"")</f>
        <v>1</v>
      </c>
      <c r="R6" s="142" t="s">
        <v>169</v>
      </c>
      <c r="S6" s="73">
        <f>IF(LEN(T6)&gt;0,VLOOKUP(T6,'1. Lists'!$AH:$AI,2,FALSE),"")</f>
        <v>13</v>
      </c>
      <c r="T6" s="146" t="s">
        <v>398</v>
      </c>
      <c r="U6" s="76">
        <f>IF(LEN(V6)&gt;0,VLOOKUP(V6,'1. Lists'!$AE:$AF,2,FALSE),"")</f>
        <v>11</v>
      </c>
      <c r="V6" s="181" t="s">
        <v>355</v>
      </c>
      <c r="W6" s="182"/>
      <c r="X6" s="183" t="s">
        <v>759</v>
      </c>
      <c r="Y6" s="78" t="s">
        <v>759</v>
      </c>
      <c r="Z6" s="132" t="s">
        <v>775</v>
      </c>
      <c r="AA6" s="132" t="s">
        <v>776</v>
      </c>
      <c r="AB6" s="80">
        <f>IF(LEN(AC6)&gt;0,VLOOKUP(AC6,'1. Lists'!$AV$3:$AX$7,3,FALSE),"")</f>
        <v>2</v>
      </c>
      <c r="AC6" s="151" t="s">
        <v>13</v>
      </c>
      <c r="AD6" s="80">
        <f>IF(LEN(AE6)&gt;0,VLOOKUP(AE6,'1. Lists'!$AZ$3:$BB$7,3,FALSE),"")</f>
        <v>2</v>
      </c>
      <c r="AE6" s="152" t="s">
        <v>9</v>
      </c>
      <c r="AF6" s="160"/>
      <c r="AG6" s="160"/>
      <c r="AH6" s="80">
        <f>IF(LEN(AI6)&gt;0,VLOOKUP(AI6,'1. Lists'!$BD$3:$BF$15,3,FALSE),"")</f>
        <v>5</v>
      </c>
      <c r="AI6" s="142" t="s">
        <v>340</v>
      </c>
      <c r="AJ6" s="143" t="s">
        <v>68</v>
      </c>
      <c r="AK6" s="144" t="s">
        <v>461</v>
      </c>
      <c r="AL6" s="125" t="s">
        <v>374</v>
      </c>
      <c r="AM6" s="154" t="s">
        <v>762</v>
      </c>
      <c r="AN6" s="160"/>
      <c r="AO6" s="154" t="s">
        <v>777</v>
      </c>
      <c r="AP6" s="154" t="s">
        <v>778</v>
      </c>
      <c r="AQ6" s="160"/>
      <c r="AR6" s="160"/>
      <c r="AS6" s="160"/>
      <c r="AT6" s="160"/>
      <c r="AU6" s="144" t="s">
        <v>460</v>
      </c>
      <c r="AV6" s="80" t="str">
        <f>IF(LEN(AW6)&gt;0,VLOOKUP(AW6,'1. Lists'!$BQ:$BR,2,FALSE),"")</f>
        <v>STD</v>
      </c>
      <c r="AW6" s="151" t="s">
        <v>78</v>
      </c>
      <c r="AX6" s="80">
        <f>IF(LEN(AY6)&gt;0,VLOOKUP(AY6,'1. Lists'!$BU$3:$BW$5,3,FALSE),"")</f>
        <v>2</v>
      </c>
      <c r="AY6" s="152" t="s">
        <v>82</v>
      </c>
      <c r="AZ6" s="155">
        <v>100</v>
      </c>
      <c r="BA6" s="159">
        <f t="shared" si="0"/>
        <v>100</v>
      </c>
      <c r="BC6" s="158">
        <v>0</v>
      </c>
      <c r="BD6" s="158">
        <v>100</v>
      </c>
      <c r="BE6" s="158">
        <v>0</v>
      </c>
      <c r="BF6" s="158">
        <v>0</v>
      </c>
      <c r="BG6" s="158">
        <v>0</v>
      </c>
      <c r="BH6" s="158">
        <v>0</v>
      </c>
      <c r="BI6" s="158">
        <v>0</v>
      </c>
      <c r="BJ6" s="158">
        <v>0</v>
      </c>
      <c r="BK6" s="158">
        <v>0</v>
      </c>
      <c r="BL6" s="158">
        <v>0</v>
      </c>
      <c r="BM6" s="158">
        <v>0</v>
      </c>
      <c r="BN6" s="158">
        <v>0</v>
      </c>
      <c r="BP6" s="80">
        <f t="shared" si="1"/>
        <v>100</v>
      </c>
      <c r="BQ6" s="80">
        <f t="shared" si="2"/>
        <v>100</v>
      </c>
      <c r="BR6" s="80">
        <f t="shared" si="3"/>
        <v>100</v>
      </c>
      <c r="BS6" s="80">
        <v>0</v>
      </c>
      <c r="BU6" s="80">
        <f t="shared" si="4"/>
        <v>100</v>
      </c>
      <c r="BV6" s="80">
        <f t="shared" si="5"/>
        <v>100</v>
      </c>
      <c r="BW6" s="80">
        <f t="shared" si="6"/>
        <v>100</v>
      </c>
    </row>
    <row r="7" spans="1:75" s="80" customFormat="1" ht="75" x14ac:dyDescent="0.25">
      <c r="A7" s="174">
        <f t="shared" si="7"/>
        <v>4</v>
      </c>
      <c r="B7" s="80">
        <f>IF(LEN(D7)&gt;0,VLOOKUP(D7,'1. Lists'!$E$3:$J$52,6,FALSE),"")</f>
        <v>16</v>
      </c>
      <c r="C7" s="80" t="str">
        <f>IF(LEN(D7)&gt;0,VLOOKUP(D7,'1. Lists'!$E$3:$F$52,2,FALSE),"")</f>
        <v>Financial Services</v>
      </c>
      <c r="D7" s="120" t="s">
        <v>374</v>
      </c>
      <c r="E7" s="179"/>
      <c r="F7" s="65" t="str">
        <f>IF(E7&gt;0,VLOOKUP(E7,'2. Top Layer'!$A:$C,3,FALSE),"")</f>
        <v/>
      </c>
      <c r="G7" s="65" t="str">
        <f>IF(E7&gt;0,VLOOKUP(E7,'2. Top Layer'!$A:$T,17,FALSE),"")</f>
        <v/>
      </c>
      <c r="H7" s="80">
        <f>IF(LEN(I7)&gt;0,VLOOKUP(I7,'1. Lists'!$T:$U,2,FALSE),"")</f>
        <v>63</v>
      </c>
      <c r="I7" s="152" t="s">
        <v>441</v>
      </c>
      <c r="J7" s="160"/>
      <c r="K7" s="80">
        <f>IF(LEN(L7)&gt;0,VLOOKUP(L7,'1. Lists'!$AK:$AL,2,FALSE),"")</f>
        <v>9</v>
      </c>
      <c r="L7" s="144" t="s">
        <v>159</v>
      </c>
      <c r="M7" s="168">
        <f>IF(LEN(N7)&gt;0,VLOOKUP(N7,'1. Lists'!$AN:$AQ,4,FALSE),"")</f>
        <v>2</v>
      </c>
      <c r="N7" s="180" t="s">
        <v>382</v>
      </c>
      <c r="O7" s="80">
        <f>IF(LEN(P7)&gt;0,VLOOKUP(P7,'1. Lists'!$AA:$AC,3,FALSE),"")</f>
        <v>5</v>
      </c>
      <c r="P7" s="143" t="s">
        <v>42</v>
      </c>
      <c r="Q7" s="73">
        <f>IF(LEN(R7)&gt;0,VLOOKUP(R7,'1. Lists'!$W:$Y,3,FALSE),"")</f>
        <v>1</v>
      </c>
      <c r="R7" s="142" t="s">
        <v>169</v>
      </c>
      <c r="S7" s="73">
        <f>IF(LEN(T7)&gt;0,VLOOKUP(T7,'1. Lists'!$AH:$AI,2,FALSE),"")</f>
        <v>13</v>
      </c>
      <c r="T7" s="146" t="s">
        <v>398</v>
      </c>
      <c r="U7" s="76">
        <f>IF(LEN(V7)&gt;0,VLOOKUP(V7,'1. Lists'!$AE:$AF,2,FALSE),"")</f>
        <v>11</v>
      </c>
      <c r="V7" s="181" t="s">
        <v>355</v>
      </c>
      <c r="W7" s="182"/>
      <c r="X7" s="183" t="s">
        <v>759</v>
      </c>
      <c r="Y7" s="78" t="s">
        <v>759</v>
      </c>
      <c r="Z7" s="132" t="s">
        <v>779</v>
      </c>
      <c r="AA7" s="132" t="s">
        <v>769</v>
      </c>
      <c r="AB7" s="80">
        <f>IF(LEN(AC7)&gt;0,VLOOKUP(AC7,'1. Lists'!$AV$3:$AX$7,3,FALSE),"")</f>
        <v>2</v>
      </c>
      <c r="AC7" s="151" t="s">
        <v>13</v>
      </c>
      <c r="AD7" s="80">
        <f>IF(LEN(AE7)&gt;0,VLOOKUP(AE7,'1. Lists'!$AZ$3:$BB$7,3,FALSE),"")</f>
        <v>2</v>
      </c>
      <c r="AE7" s="152" t="s">
        <v>9</v>
      </c>
      <c r="AF7" s="160"/>
      <c r="AG7" s="160"/>
      <c r="AH7" s="80">
        <f>IF(LEN(AI7)&gt;0,VLOOKUP(AI7,'1. Lists'!$BD$3:$BF$15,3,FALSE),"")</f>
        <v>5</v>
      </c>
      <c r="AI7" s="142" t="s">
        <v>340</v>
      </c>
      <c r="AJ7" s="143" t="s">
        <v>68</v>
      </c>
      <c r="AK7" s="144" t="s">
        <v>461</v>
      </c>
      <c r="AL7" s="125" t="s">
        <v>374</v>
      </c>
      <c r="AM7" s="154" t="s">
        <v>762</v>
      </c>
      <c r="AN7" s="160"/>
      <c r="AO7" s="154" t="s">
        <v>780</v>
      </c>
      <c r="AP7" s="154" t="s">
        <v>781</v>
      </c>
      <c r="AQ7" s="160"/>
      <c r="AR7" s="160"/>
      <c r="AS7" s="160"/>
      <c r="AT7" s="160"/>
      <c r="AU7" s="144" t="s">
        <v>460</v>
      </c>
      <c r="AV7" s="80" t="str">
        <f>IF(LEN(AW7)&gt;0,VLOOKUP(AW7,'1. Lists'!$BQ:$BR,2,FALSE),"")</f>
        <v>ACC</v>
      </c>
      <c r="AW7" s="151" t="s">
        <v>14</v>
      </c>
      <c r="AX7" s="80">
        <f>IF(LEN(AY7)&gt;0,VLOOKUP(AY7,'1. Lists'!$BU$3:$BW$5,3,FALSE),"")</f>
        <v>3</v>
      </c>
      <c r="AY7" s="152" t="s">
        <v>83</v>
      </c>
      <c r="AZ7" s="155">
        <v>2</v>
      </c>
      <c r="BA7" s="159">
        <f t="shared" si="0"/>
        <v>2</v>
      </c>
      <c r="BC7" s="158">
        <v>0</v>
      </c>
      <c r="BD7" s="158">
        <v>1</v>
      </c>
      <c r="BE7" s="158">
        <v>0</v>
      </c>
      <c r="BF7" s="158">
        <v>0</v>
      </c>
      <c r="BG7" s="158">
        <v>0</v>
      </c>
      <c r="BH7" s="158">
        <v>0</v>
      </c>
      <c r="BI7" s="158">
        <v>0</v>
      </c>
      <c r="BJ7" s="158">
        <v>1</v>
      </c>
      <c r="BK7" s="158">
        <v>0</v>
      </c>
      <c r="BL7" s="158">
        <v>0</v>
      </c>
      <c r="BM7" s="158">
        <v>0</v>
      </c>
      <c r="BN7" s="158">
        <v>0</v>
      </c>
      <c r="BP7" s="80">
        <f t="shared" si="1"/>
        <v>1</v>
      </c>
      <c r="BQ7" s="80">
        <f t="shared" si="2"/>
        <v>2</v>
      </c>
      <c r="BR7" s="80">
        <f t="shared" si="3"/>
        <v>1</v>
      </c>
      <c r="BS7" s="80">
        <v>0</v>
      </c>
      <c r="BU7" s="80">
        <f t="shared" si="4"/>
        <v>1</v>
      </c>
      <c r="BV7" s="80">
        <f t="shared" si="5"/>
        <v>1</v>
      </c>
      <c r="BW7" s="80">
        <f t="shared" si="6"/>
        <v>1</v>
      </c>
    </row>
    <row r="8" spans="1:75" s="80" customFormat="1" ht="75" x14ac:dyDescent="0.25">
      <c r="A8" s="174">
        <f t="shared" si="7"/>
        <v>5</v>
      </c>
      <c r="B8" s="80">
        <f>IF(LEN(D8)&gt;0,VLOOKUP(D8,'1. Lists'!$E$3:$J$52,6,FALSE),"")</f>
        <v>16</v>
      </c>
      <c r="C8" s="80" t="str">
        <f>IF(LEN(D8)&gt;0,VLOOKUP(D8,'1. Lists'!$E$3:$F$52,2,FALSE),"")</f>
        <v>Financial Services</v>
      </c>
      <c r="D8" s="120" t="s">
        <v>374</v>
      </c>
      <c r="E8" s="179"/>
      <c r="F8" s="65" t="str">
        <f>IF(E8&gt;0,VLOOKUP(E8,'2. Top Layer'!$A:$C,3,FALSE),"")</f>
        <v/>
      </c>
      <c r="G8" s="65" t="str">
        <f>IF(E8&gt;0,VLOOKUP(E8,'2. Top Layer'!$A:$T,17,FALSE),"")</f>
        <v/>
      </c>
      <c r="H8" s="80">
        <f>IF(LEN(I8)&gt;0,VLOOKUP(I8,'1. Lists'!$T:$U,2,FALSE),"")</f>
        <v>63</v>
      </c>
      <c r="I8" s="152" t="s">
        <v>441</v>
      </c>
      <c r="J8" s="160"/>
      <c r="K8" s="80">
        <f>IF(LEN(L8)&gt;0,VLOOKUP(L8,'1. Lists'!$AK:$AL,2,FALSE),"")</f>
        <v>9</v>
      </c>
      <c r="L8" s="144" t="s">
        <v>159</v>
      </c>
      <c r="M8" s="168">
        <f>IF(LEN(N8)&gt;0,VLOOKUP(N8,'1. Lists'!$AN:$AQ,4,FALSE),"")</f>
        <v>2</v>
      </c>
      <c r="N8" s="180" t="s">
        <v>382</v>
      </c>
      <c r="O8" s="80">
        <f>IF(LEN(P8)&gt;0,VLOOKUP(P8,'1. Lists'!$AA:$AC,3,FALSE),"")</f>
        <v>5</v>
      </c>
      <c r="P8" s="143" t="s">
        <v>42</v>
      </c>
      <c r="Q8" s="73">
        <f>IF(LEN(R8)&gt;0,VLOOKUP(R8,'1. Lists'!$W:$Y,3,FALSE),"")</f>
        <v>1</v>
      </c>
      <c r="R8" s="142" t="s">
        <v>169</v>
      </c>
      <c r="S8" s="73">
        <f>IF(LEN(T8)&gt;0,VLOOKUP(T8,'1. Lists'!$AH:$AI,2,FALSE),"")</f>
        <v>11</v>
      </c>
      <c r="T8" s="146" t="s">
        <v>396</v>
      </c>
      <c r="U8" s="76">
        <f>IF(LEN(V8)&gt;0,VLOOKUP(V8,'1. Lists'!$AE:$AF,2,FALSE),"")</f>
        <v>11</v>
      </c>
      <c r="V8" s="181" t="s">
        <v>355</v>
      </c>
      <c r="W8" s="182"/>
      <c r="X8" s="183"/>
      <c r="Y8" s="78"/>
      <c r="Z8" s="132" t="s">
        <v>787</v>
      </c>
      <c r="AA8" s="132" t="s">
        <v>788</v>
      </c>
      <c r="AB8" s="80">
        <f>IF(LEN(AC8)&gt;0,VLOOKUP(AC8,'1. Lists'!$AV$3:$AX$7,3,FALSE),"")</f>
        <v>2</v>
      </c>
      <c r="AC8" s="151" t="s">
        <v>13</v>
      </c>
      <c r="AD8" s="80">
        <f>IF(LEN(AE8)&gt;0,VLOOKUP(AE8,'1. Lists'!$AZ$3:$BB$7,3,FALSE),"")</f>
        <v>1</v>
      </c>
      <c r="AE8" s="152" t="s">
        <v>15</v>
      </c>
      <c r="AF8" s="160"/>
      <c r="AG8" s="160"/>
      <c r="AH8" s="80">
        <f>IF(LEN(AI8)&gt;0,VLOOKUP(AI8,'1. Lists'!$BD$3:$BF$15,3,FALSE),"")</f>
        <v>5</v>
      </c>
      <c r="AI8" s="142" t="s">
        <v>340</v>
      </c>
      <c r="AJ8" s="143" t="s">
        <v>68</v>
      </c>
      <c r="AK8" s="144" t="s">
        <v>461</v>
      </c>
      <c r="AL8" s="125" t="s">
        <v>374</v>
      </c>
      <c r="AM8" s="185" t="s">
        <v>762</v>
      </c>
      <c r="AN8" s="160"/>
      <c r="AO8" s="154" t="s">
        <v>789</v>
      </c>
      <c r="AP8" s="184" t="s">
        <v>790</v>
      </c>
      <c r="AQ8" s="160"/>
      <c r="AR8" s="160"/>
      <c r="AS8" s="160"/>
      <c r="AT8" s="160"/>
      <c r="AU8" s="144" t="s">
        <v>460</v>
      </c>
      <c r="AV8" s="80" t="str">
        <f>IF(LEN(AW8)&gt;0,VLOOKUP(AW8,'1. Lists'!$BQ:$BR,2,FALSE),"")</f>
        <v>CO</v>
      </c>
      <c r="AW8" s="151" t="s">
        <v>12</v>
      </c>
      <c r="AX8" s="80">
        <f>IF(LEN(AY8)&gt;0,VLOOKUP(AY8,'1. Lists'!$BU$3:$BW$5,3,FALSE),"")</f>
        <v>3</v>
      </c>
      <c r="AY8" s="152" t="s">
        <v>83</v>
      </c>
      <c r="AZ8" s="155">
        <v>1</v>
      </c>
      <c r="BA8" s="159">
        <f t="shared" si="0"/>
        <v>1</v>
      </c>
      <c r="BC8" s="158">
        <v>0</v>
      </c>
      <c r="BD8" s="158">
        <v>0</v>
      </c>
      <c r="BE8" s="158">
        <v>0</v>
      </c>
      <c r="BF8" s="158">
        <v>1</v>
      </c>
      <c r="BG8" s="158">
        <v>0</v>
      </c>
      <c r="BH8" s="158">
        <v>0</v>
      </c>
      <c r="BI8" s="158">
        <v>0</v>
      </c>
      <c r="BJ8" s="158">
        <v>0</v>
      </c>
      <c r="BK8" s="158">
        <v>0</v>
      </c>
      <c r="BL8" s="158">
        <v>0</v>
      </c>
      <c r="BM8" s="158">
        <v>0</v>
      </c>
      <c r="BN8" s="158">
        <v>0</v>
      </c>
      <c r="BP8" s="80">
        <f t="shared" si="1"/>
        <v>1</v>
      </c>
      <c r="BQ8" s="80">
        <f t="shared" si="2"/>
        <v>1</v>
      </c>
      <c r="BR8" s="80">
        <f t="shared" si="3"/>
        <v>1</v>
      </c>
      <c r="BU8" s="80">
        <f t="shared" si="4"/>
        <v>1</v>
      </c>
      <c r="BV8" s="80">
        <f t="shared" si="5"/>
        <v>1</v>
      </c>
      <c r="BW8" s="80">
        <f t="shared" si="6"/>
        <v>1</v>
      </c>
    </row>
    <row r="9" spans="1:75" s="80" customFormat="1" ht="75" x14ac:dyDescent="0.25">
      <c r="A9" s="174">
        <f t="shared" si="7"/>
        <v>6</v>
      </c>
      <c r="B9" s="80">
        <f>IF(LEN(D9)&gt;0,VLOOKUP(D9,'1. Lists'!$E$3:$J$52,6,FALSE),"")</f>
        <v>16</v>
      </c>
      <c r="C9" s="80" t="str">
        <f>IF(LEN(D9)&gt;0,VLOOKUP(D9,'1. Lists'!$E$3:$F$52,2,FALSE),"")</f>
        <v>Financial Services</v>
      </c>
      <c r="D9" s="120" t="s">
        <v>374</v>
      </c>
      <c r="E9" s="179"/>
      <c r="F9" s="65" t="str">
        <f>IF(E9&gt;0,VLOOKUP(E9,'2. Top Layer'!$A:$C,3,FALSE),"")</f>
        <v/>
      </c>
      <c r="G9" s="65" t="str">
        <f>IF(E9&gt;0,VLOOKUP(E9,'2. Top Layer'!$A:$T,17,FALSE),"")</f>
        <v/>
      </c>
      <c r="H9" s="80">
        <f>IF(LEN(I9)&gt;0,VLOOKUP(I9,'1. Lists'!$T:$U,2,FALSE),"")</f>
        <v>63</v>
      </c>
      <c r="I9" s="152" t="s">
        <v>441</v>
      </c>
      <c r="J9" s="160"/>
      <c r="K9" s="80">
        <f>IF(LEN(L9)&gt;0,VLOOKUP(L9,'1. Lists'!$AK:$AL,2,FALSE),"")</f>
        <v>9</v>
      </c>
      <c r="L9" s="144" t="s">
        <v>159</v>
      </c>
      <c r="M9" s="168">
        <f>IF(LEN(N9)&gt;0,VLOOKUP(N9,'1. Lists'!$AN:$AQ,4,FALSE),"")</f>
        <v>2</v>
      </c>
      <c r="N9" s="180" t="s">
        <v>382</v>
      </c>
      <c r="O9" s="80">
        <f>IF(LEN(P9)&gt;0,VLOOKUP(P9,'1. Lists'!$AA:$AC,3,FALSE),"")</f>
        <v>5</v>
      </c>
      <c r="P9" s="143" t="s">
        <v>42</v>
      </c>
      <c r="Q9" s="73">
        <f>IF(LEN(R9)&gt;0,VLOOKUP(R9,'1. Lists'!$W:$Y,3,FALSE),"")</f>
        <v>1</v>
      </c>
      <c r="R9" s="142" t="s">
        <v>169</v>
      </c>
      <c r="S9" s="73">
        <f>IF(LEN(T9)&gt;0,VLOOKUP(T9,'1. Lists'!$AH:$AI,2,FALSE),"")</f>
        <v>11</v>
      </c>
      <c r="T9" s="146" t="s">
        <v>396</v>
      </c>
      <c r="U9" s="76">
        <f>IF(LEN(V9)&gt;0,VLOOKUP(V9,'1. Lists'!$AE:$AF,2,FALSE),"")</f>
        <v>11</v>
      </c>
      <c r="V9" s="181" t="s">
        <v>355</v>
      </c>
      <c r="W9" s="182"/>
      <c r="X9" s="183" t="str">
        <f>IF(W9&gt;0,VLOOKUP($W9,#REF!,4,FALSE),"")</f>
        <v/>
      </c>
      <c r="Y9" s="78" t="str">
        <f>IF(W9&gt;0,VLOOKUP($W9,#REF!,10,FALSE),"")</f>
        <v/>
      </c>
      <c r="Z9" s="132" t="s">
        <v>791</v>
      </c>
      <c r="AA9" s="132" t="s">
        <v>468</v>
      </c>
      <c r="AB9" s="80">
        <f>IF(LEN(AC9)&gt;0,VLOOKUP(AC9,'1. Lists'!$AV$3:$AX$7,3,FALSE),"")</f>
        <v>2</v>
      </c>
      <c r="AC9" s="151" t="s">
        <v>13</v>
      </c>
      <c r="AD9" s="80">
        <f>IF(LEN(AE9)&gt;0,VLOOKUP(AE9,'1. Lists'!$AZ$3:$BB$7,3,FALSE),"")</f>
        <v>2</v>
      </c>
      <c r="AE9" s="152" t="s">
        <v>9</v>
      </c>
      <c r="AF9" s="160"/>
      <c r="AG9" s="160"/>
      <c r="AH9" s="80">
        <f>IF(LEN(AI9)&gt;0,VLOOKUP(AI9,'1. Lists'!$BD$3:$BF$15,3,FALSE),"")</f>
        <v>5</v>
      </c>
      <c r="AI9" s="142" t="s">
        <v>340</v>
      </c>
      <c r="AJ9" s="143" t="s">
        <v>68</v>
      </c>
      <c r="AK9" s="144" t="s">
        <v>461</v>
      </c>
      <c r="AL9" s="125" t="s">
        <v>374</v>
      </c>
      <c r="AM9" s="154">
        <v>10</v>
      </c>
      <c r="AN9" s="160"/>
      <c r="AO9" s="154" t="s">
        <v>601</v>
      </c>
      <c r="AP9" s="184" t="s">
        <v>790</v>
      </c>
      <c r="AQ9" s="160"/>
      <c r="AR9" s="160"/>
      <c r="AS9" s="160"/>
      <c r="AT9" s="160"/>
      <c r="AU9" s="144" t="s">
        <v>460</v>
      </c>
      <c r="AV9" s="80" t="str">
        <f>IF(LEN(AW9)&gt;0,VLOOKUP(AW9,'1. Lists'!$BQ:$BR,2,FALSE),"")</f>
        <v>ACC</v>
      </c>
      <c r="AW9" s="151" t="s">
        <v>14</v>
      </c>
      <c r="AX9" s="80">
        <f>IF(LEN(AY9)&gt;0,VLOOKUP(AY9,'1. Lists'!$BU$3:$BW$5,3,FALSE),"")</f>
        <v>3</v>
      </c>
      <c r="AY9" s="152" t="s">
        <v>83</v>
      </c>
      <c r="AZ9" s="155">
        <v>12</v>
      </c>
      <c r="BA9" s="159">
        <f t="shared" si="0"/>
        <v>12</v>
      </c>
      <c r="BC9" s="158">
        <v>1</v>
      </c>
      <c r="BD9" s="158">
        <v>1</v>
      </c>
      <c r="BE9" s="158">
        <v>1</v>
      </c>
      <c r="BF9" s="158">
        <v>1</v>
      </c>
      <c r="BG9" s="158">
        <v>1</v>
      </c>
      <c r="BH9" s="158">
        <v>1</v>
      </c>
      <c r="BI9" s="158">
        <v>1</v>
      </c>
      <c r="BJ9" s="158">
        <v>1</v>
      </c>
      <c r="BK9" s="158">
        <v>1</v>
      </c>
      <c r="BL9" s="158">
        <v>1</v>
      </c>
      <c r="BM9" s="158">
        <v>1</v>
      </c>
      <c r="BN9" s="158">
        <v>1</v>
      </c>
      <c r="BP9" s="80">
        <f t="shared" si="1"/>
        <v>1</v>
      </c>
      <c r="BQ9" s="80">
        <f t="shared" si="2"/>
        <v>12</v>
      </c>
      <c r="BR9" s="80">
        <f t="shared" si="3"/>
        <v>1</v>
      </c>
      <c r="BS9" s="80">
        <v>0</v>
      </c>
      <c r="BU9" s="80">
        <f t="shared" si="4"/>
        <v>1</v>
      </c>
      <c r="BV9" s="80">
        <f t="shared" si="5"/>
        <v>1</v>
      </c>
      <c r="BW9" s="80">
        <f t="shared" si="6"/>
        <v>1</v>
      </c>
    </row>
    <row r="10" spans="1:75" s="80" customFormat="1" ht="75" x14ac:dyDescent="0.25">
      <c r="A10" s="174">
        <f t="shared" si="7"/>
        <v>7</v>
      </c>
      <c r="B10" s="80">
        <f>IF(LEN(D10)&gt;0,VLOOKUP(D10,'1. Lists'!$E$3:$J$52,6,FALSE),"")</f>
        <v>16</v>
      </c>
      <c r="C10" s="80" t="str">
        <f>IF(LEN(D10)&gt;0,VLOOKUP(D10,'1. Lists'!$E$3:$F$52,2,FALSE),"")</f>
        <v>Financial Services</v>
      </c>
      <c r="D10" s="120" t="s">
        <v>374</v>
      </c>
      <c r="E10" s="179"/>
      <c r="F10" s="65"/>
      <c r="G10" s="65"/>
      <c r="H10" s="80">
        <f>IF(LEN(I10)&gt;0,VLOOKUP(I10,'1. Lists'!$T:$U,2,FALSE),"")</f>
        <v>63</v>
      </c>
      <c r="I10" s="152" t="s">
        <v>441</v>
      </c>
      <c r="J10" s="160"/>
      <c r="K10" s="80">
        <f>IF(LEN(L10)&gt;0,VLOOKUP(L10,'1. Lists'!$AK:$AL,2,FALSE),"")</f>
        <v>9</v>
      </c>
      <c r="L10" s="144" t="s">
        <v>159</v>
      </c>
      <c r="M10" s="168">
        <f>IF(LEN(N10)&gt;0,VLOOKUP(N10,'1. Lists'!$AN:$AQ,4,FALSE),"")</f>
        <v>2</v>
      </c>
      <c r="N10" s="180" t="s">
        <v>382</v>
      </c>
      <c r="O10" s="80">
        <f>IF(LEN(P10)&gt;0,VLOOKUP(P10,'1. Lists'!$AA:$AC,3,FALSE),"")</f>
        <v>4</v>
      </c>
      <c r="P10" s="143" t="s">
        <v>41</v>
      </c>
      <c r="Q10" s="73">
        <f>IF(LEN(R10)&gt;0,VLOOKUP(R10,'1. Lists'!$W:$Y,3,FALSE),"")</f>
        <v>1</v>
      </c>
      <c r="R10" s="142" t="s">
        <v>169</v>
      </c>
      <c r="S10" s="73">
        <f>IF(LEN(T10)&gt;0,VLOOKUP(T10,'1. Lists'!$AH:$AI,2,FALSE),"")</f>
        <v>11</v>
      </c>
      <c r="T10" s="146" t="s">
        <v>396</v>
      </c>
      <c r="U10" s="76">
        <f>IF(LEN(V10)&gt;0,VLOOKUP(V10,'1. Lists'!$AE:$AF,2,FALSE),"")</f>
        <v>11</v>
      </c>
      <c r="V10" s="181" t="s">
        <v>355</v>
      </c>
      <c r="W10" s="182"/>
      <c r="X10" s="183"/>
      <c r="Y10" s="78"/>
      <c r="Z10" s="132" t="s">
        <v>792</v>
      </c>
      <c r="AA10" s="132" t="s">
        <v>739</v>
      </c>
      <c r="AB10" s="80">
        <f>IF(LEN(AC10)&gt;0,VLOOKUP(AC10,'1. Lists'!$AV$3:$AX$7,3,FALSE),"")</f>
        <v>2</v>
      </c>
      <c r="AC10" s="151" t="s">
        <v>13</v>
      </c>
      <c r="AD10" s="80">
        <f>IF(LEN(AE10)&gt;0,VLOOKUP(AE10,'1. Lists'!$AZ$3:$BB$7,3,FALSE),"")</f>
        <v>2</v>
      </c>
      <c r="AE10" s="152" t="s">
        <v>9</v>
      </c>
      <c r="AF10" s="160"/>
      <c r="AG10" s="160"/>
      <c r="AH10" s="80">
        <f>IF(LEN(AI10)&gt;0,VLOOKUP(AI10,'1. Lists'!$BD$3:$BF$15,3,FALSE),"")</f>
        <v>5</v>
      </c>
      <c r="AI10" s="142" t="s">
        <v>340</v>
      </c>
      <c r="AJ10" s="143" t="s">
        <v>68</v>
      </c>
      <c r="AK10" s="144" t="s">
        <v>461</v>
      </c>
      <c r="AL10" s="125" t="s">
        <v>374</v>
      </c>
      <c r="AM10" s="185" t="s">
        <v>762</v>
      </c>
      <c r="AN10" s="160"/>
      <c r="AO10" s="154" t="s">
        <v>565</v>
      </c>
      <c r="AP10" s="184" t="s">
        <v>790</v>
      </c>
      <c r="AQ10" s="160"/>
      <c r="AR10" s="160"/>
      <c r="AS10" s="160"/>
      <c r="AT10" s="160"/>
      <c r="AU10" s="144" t="s">
        <v>460</v>
      </c>
      <c r="AV10" s="80" t="str">
        <f>IF(LEN(AW10)&gt;0,VLOOKUP(AW10,'1. Lists'!$BQ:$BR,2,FALSE),"")</f>
        <v>ACC</v>
      </c>
      <c r="AW10" s="151" t="s">
        <v>14</v>
      </c>
      <c r="AX10" s="80">
        <f>IF(LEN(AY10)&gt;0,VLOOKUP(AY10,'1. Lists'!$BU$3:$BW$5,3,FALSE),"")</f>
        <v>3</v>
      </c>
      <c r="AY10" s="152" t="s">
        <v>83</v>
      </c>
      <c r="AZ10" s="155">
        <v>4</v>
      </c>
      <c r="BA10" s="159">
        <f t="shared" si="0"/>
        <v>4</v>
      </c>
      <c r="BC10" s="158">
        <v>0</v>
      </c>
      <c r="BD10" s="158">
        <v>0</v>
      </c>
      <c r="BE10" s="158">
        <v>1</v>
      </c>
      <c r="BF10" s="158">
        <v>0</v>
      </c>
      <c r="BG10" s="158">
        <v>0</v>
      </c>
      <c r="BH10" s="158">
        <v>1</v>
      </c>
      <c r="BI10" s="158">
        <v>0</v>
      </c>
      <c r="BJ10" s="158">
        <v>0</v>
      </c>
      <c r="BK10" s="158">
        <v>1</v>
      </c>
      <c r="BL10" s="158">
        <v>0</v>
      </c>
      <c r="BM10" s="158">
        <v>0</v>
      </c>
      <c r="BN10" s="158">
        <v>1</v>
      </c>
      <c r="BP10" s="80">
        <f t="shared" si="1"/>
        <v>1</v>
      </c>
      <c r="BQ10" s="80">
        <f t="shared" si="2"/>
        <v>4</v>
      </c>
      <c r="BR10" s="80">
        <f t="shared" si="3"/>
        <v>1</v>
      </c>
      <c r="BU10" s="80">
        <f t="shared" si="4"/>
        <v>1</v>
      </c>
      <c r="BV10" s="80">
        <f t="shared" si="5"/>
        <v>1</v>
      </c>
      <c r="BW10" s="80">
        <f t="shared" si="6"/>
        <v>1</v>
      </c>
    </row>
    <row r="11" spans="1:75" s="80" customFormat="1" ht="75" x14ac:dyDescent="0.25">
      <c r="A11" s="174">
        <f t="shared" si="7"/>
        <v>8</v>
      </c>
      <c r="B11" s="80">
        <f>IF(LEN(D11)&gt;0,VLOOKUP(D11,'1. Lists'!$E$3:$J$52,6,FALSE),"")</f>
        <v>16</v>
      </c>
      <c r="C11" s="80" t="str">
        <f>IF(LEN(D11)&gt;0,VLOOKUP(D11,'1. Lists'!$E$3:$F$52,2,FALSE),"")</f>
        <v>Financial Services</v>
      </c>
      <c r="D11" s="120" t="s">
        <v>374</v>
      </c>
      <c r="E11" s="179"/>
      <c r="F11" s="65"/>
      <c r="G11" s="65"/>
      <c r="H11" s="80">
        <f>IF(LEN(I11)&gt;0,VLOOKUP(I11,'1. Lists'!$T:$U,2,FALSE),"")</f>
        <v>63</v>
      </c>
      <c r="I11" s="152" t="s">
        <v>441</v>
      </c>
      <c r="J11" s="160"/>
      <c r="K11" s="80">
        <f>IF(LEN(L11)&gt;0,VLOOKUP(L11,'1. Lists'!$AK:$AL,2,FALSE),"")</f>
        <v>9</v>
      </c>
      <c r="L11" s="144" t="s">
        <v>159</v>
      </c>
      <c r="M11" s="168">
        <f>IF(LEN(N11)&gt;0,VLOOKUP(N11,'1. Lists'!$AN:$AQ,4,FALSE),"")</f>
        <v>2</v>
      </c>
      <c r="N11" s="180" t="s">
        <v>382</v>
      </c>
      <c r="O11" s="80">
        <f>IF(LEN(P11)&gt;0,VLOOKUP(P11,'1. Lists'!$AA:$AC,3,FALSE),"")</f>
        <v>4</v>
      </c>
      <c r="P11" s="143" t="s">
        <v>41</v>
      </c>
      <c r="Q11" s="73">
        <f>IF(LEN(R11)&gt;0,VLOOKUP(R11,'1. Lists'!$W:$Y,3,FALSE),"")</f>
        <v>1</v>
      </c>
      <c r="R11" s="142" t="s">
        <v>169</v>
      </c>
      <c r="S11" s="73">
        <f>IF(LEN(T11)&gt;0,VLOOKUP(T11,'1. Lists'!$AH:$AI,2,FALSE),"")</f>
        <v>11</v>
      </c>
      <c r="T11" s="146" t="s">
        <v>396</v>
      </c>
      <c r="U11" s="76">
        <f>IF(LEN(V11)&gt;0,VLOOKUP(V11,'1. Lists'!$AE:$AF,2,FALSE),"")</f>
        <v>11</v>
      </c>
      <c r="V11" s="181" t="s">
        <v>355</v>
      </c>
      <c r="W11" s="182"/>
      <c r="X11" s="183"/>
      <c r="Y11" s="78"/>
      <c r="Z11" s="132" t="s">
        <v>793</v>
      </c>
      <c r="AA11" s="132" t="s">
        <v>794</v>
      </c>
      <c r="AB11" s="80">
        <f>IF(LEN(AC11)&gt;0,VLOOKUP(AC11,'1. Lists'!$AV$3:$AX$7,3,FALSE),"")</f>
        <v>2</v>
      </c>
      <c r="AC11" s="151" t="s">
        <v>13</v>
      </c>
      <c r="AD11" s="80">
        <f>IF(LEN(AE11)&gt;0,VLOOKUP(AE11,'1. Lists'!$AZ$3:$BB$7,3,FALSE),"")</f>
        <v>2</v>
      </c>
      <c r="AE11" s="152" t="s">
        <v>9</v>
      </c>
      <c r="AF11" s="160"/>
      <c r="AG11" s="160"/>
      <c r="AH11" s="80">
        <f>IF(LEN(AI11)&gt;0,VLOOKUP(AI11,'1. Lists'!$BD$3:$BF$15,3,FALSE),"")</f>
        <v>5</v>
      </c>
      <c r="AI11" s="142" t="s">
        <v>340</v>
      </c>
      <c r="AJ11" s="143" t="s">
        <v>68</v>
      </c>
      <c r="AK11" s="144" t="s">
        <v>461</v>
      </c>
      <c r="AL11" s="125" t="s">
        <v>374</v>
      </c>
      <c r="AM11" s="185" t="s">
        <v>762</v>
      </c>
      <c r="AN11" s="160"/>
      <c r="AO11" s="154" t="s">
        <v>795</v>
      </c>
      <c r="AP11" s="184" t="s">
        <v>790</v>
      </c>
      <c r="AQ11" s="160"/>
      <c r="AR11" s="160"/>
      <c r="AS11" s="160"/>
      <c r="AT11" s="160"/>
      <c r="AU11" s="144" t="s">
        <v>460</v>
      </c>
      <c r="AV11" s="80" t="str">
        <f>IF(LEN(AW11)&gt;0,VLOOKUP(AW11,'1. Lists'!$BQ:$BR,2,FALSE),"")</f>
        <v>ACC</v>
      </c>
      <c r="AW11" s="151" t="s">
        <v>14</v>
      </c>
      <c r="AX11" s="80">
        <f>IF(LEN(AY11)&gt;0,VLOOKUP(AY11,'1. Lists'!$BU$3:$BW$5,3,FALSE),"")</f>
        <v>3</v>
      </c>
      <c r="AY11" s="152" t="s">
        <v>83</v>
      </c>
      <c r="AZ11" s="155">
        <v>12</v>
      </c>
      <c r="BA11" s="159">
        <f t="shared" si="0"/>
        <v>12</v>
      </c>
      <c r="BC11" s="158">
        <v>1</v>
      </c>
      <c r="BD11" s="158">
        <v>1</v>
      </c>
      <c r="BE11" s="158">
        <v>1</v>
      </c>
      <c r="BF11" s="158">
        <v>1</v>
      </c>
      <c r="BG11" s="158">
        <v>1</v>
      </c>
      <c r="BH11" s="158">
        <v>1</v>
      </c>
      <c r="BI11" s="158">
        <v>1</v>
      </c>
      <c r="BJ11" s="158">
        <v>1</v>
      </c>
      <c r="BK11" s="158">
        <v>1</v>
      </c>
      <c r="BL11" s="158">
        <v>1</v>
      </c>
      <c r="BM11" s="158">
        <v>1</v>
      </c>
      <c r="BN11" s="158">
        <v>1</v>
      </c>
      <c r="BP11" s="80">
        <f t="shared" si="1"/>
        <v>1</v>
      </c>
      <c r="BQ11" s="80">
        <f t="shared" si="2"/>
        <v>12</v>
      </c>
      <c r="BR11" s="80">
        <f t="shared" si="3"/>
        <v>1</v>
      </c>
      <c r="BU11" s="80">
        <f t="shared" si="4"/>
        <v>1</v>
      </c>
      <c r="BV11" s="80">
        <f t="shared" si="5"/>
        <v>1</v>
      </c>
      <c r="BW11" s="80">
        <f t="shared" si="6"/>
        <v>1</v>
      </c>
    </row>
    <row r="12" spans="1:75" s="80" customFormat="1" ht="75" x14ac:dyDescent="0.25">
      <c r="A12" s="174">
        <f t="shared" si="7"/>
        <v>9</v>
      </c>
      <c r="B12" s="80">
        <f>IF(LEN(D12)&gt;0,VLOOKUP(D12,'1. Lists'!$E$3:$J$52,6,FALSE),"")</f>
        <v>16</v>
      </c>
      <c r="C12" s="80" t="str">
        <f>IF(LEN(D12)&gt;0,VLOOKUP(D12,'1. Lists'!$E$3:$F$52,2,FALSE),"")</f>
        <v>Financial Services</v>
      </c>
      <c r="D12" s="120" t="s">
        <v>374</v>
      </c>
      <c r="E12" s="179"/>
      <c r="F12" s="65"/>
      <c r="G12" s="65"/>
      <c r="H12" s="80">
        <f>IF(LEN(I12)&gt;0,VLOOKUP(I12,'1. Lists'!$T:$U,2,FALSE),"")</f>
        <v>63</v>
      </c>
      <c r="I12" s="152" t="s">
        <v>441</v>
      </c>
      <c r="J12" s="160"/>
      <c r="K12" s="80">
        <f>IF(LEN(L12)&gt;0,VLOOKUP(L12,'1. Lists'!$AK:$AL,2,FALSE),"")</f>
        <v>9</v>
      </c>
      <c r="L12" s="144" t="s">
        <v>159</v>
      </c>
      <c r="M12" s="168">
        <f>IF(LEN(N12)&gt;0,VLOOKUP(N12,'1. Lists'!$AN:$AQ,4,FALSE),"")</f>
        <v>2</v>
      </c>
      <c r="N12" s="180" t="s">
        <v>382</v>
      </c>
      <c r="O12" s="80">
        <f>IF(LEN(P12)&gt;0,VLOOKUP(P12,'1. Lists'!$AA:$AC,3,FALSE),"")</f>
        <v>4</v>
      </c>
      <c r="P12" s="143" t="s">
        <v>41</v>
      </c>
      <c r="Q12" s="73">
        <f>IF(LEN(R12)&gt;0,VLOOKUP(R12,'1. Lists'!$W:$Y,3,FALSE),"")</f>
        <v>1</v>
      </c>
      <c r="R12" s="142" t="s">
        <v>169</v>
      </c>
      <c r="S12" s="73">
        <f>IF(LEN(T12)&gt;0,VLOOKUP(T12,'1. Lists'!$AH:$AI,2,FALSE),"")</f>
        <v>11</v>
      </c>
      <c r="T12" s="146" t="s">
        <v>396</v>
      </c>
      <c r="U12" s="76">
        <f>IF(LEN(V12)&gt;0,VLOOKUP(V12,'1. Lists'!$AE:$AF,2,FALSE),"")</f>
        <v>11</v>
      </c>
      <c r="V12" s="181" t="s">
        <v>355</v>
      </c>
      <c r="W12" s="182"/>
      <c r="X12" s="183"/>
      <c r="Y12" s="78"/>
      <c r="Z12" s="132" t="s">
        <v>796</v>
      </c>
      <c r="AA12" s="132" t="s">
        <v>797</v>
      </c>
      <c r="AB12" s="80">
        <f>IF(LEN(AC12)&gt;0,VLOOKUP(AC12,'1. Lists'!$AV$3:$AX$7,3,FALSE),"")</f>
        <v>3</v>
      </c>
      <c r="AC12" s="151" t="s">
        <v>4</v>
      </c>
      <c r="AD12" s="80">
        <f>IF(LEN(AE12)&gt;0,VLOOKUP(AE12,'1. Lists'!$AZ$3:$BB$7,3,FALSE),"")</f>
        <v>2</v>
      </c>
      <c r="AE12" s="152" t="s">
        <v>9</v>
      </c>
      <c r="AF12" s="160"/>
      <c r="AG12" s="160"/>
      <c r="AH12" s="80">
        <f>IF(LEN(AI12)&gt;0,VLOOKUP(AI12,'1. Lists'!$BD$3:$BF$15,3,FALSE),"")</f>
        <v>5</v>
      </c>
      <c r="AI12" s="142" t="s">
        <v>340</v>
      </c>
      <c r="AJ12" s="143" t="s">
        <v>68</v>
      </c>
      <c r="AK12" s="144" t="s">
        <v>461</v>
      </c>
      <c r="AL12" s="125" t="s">
        <v>374</v>
      </c>
      <c r="AM12" s="185" t="s">
        <v>762</v>
      </c>
      <c r="AN12" s="160"/>
      <c r="AO12" s="185">
        <v>0.85</v>
      </c>
      <c r="AP12" s="184" t="s">
        <v>798</v>
      </c>
      <c r="AQ12" s="160"/>
      <c r="AR12" s="160"/>
      <c r="AS12" s="160"/>
      <c r="AT12" s="160"/>
      <c r="AU12" s="144" t="s">
        <v>460</v>
      </c>
      <c r="AV12" s="80" t="str">
        <f>IF(LEN(AW12)&gt;0,VLOOKUP(AW12,'1. Lists'!$BQ:$BR,2,FALSE),"")</f>
        <v>LAST</v>
      </c>
      <c r="AW12" s="151" t="s">
        <v>190</v>
      </c>
      <c r="AX12" s="80">
        <f>IF(LEN(AY12)&gt;0,VLOOKUP(AY12,'1. Lists'!$BU$3:$BW$5,3,FALSE),"")</f>
        <v>2</v>
      </c>
      <c r="AY12" s="152" t="s">
        <v>82</v>
      </c>
      <c r="AZ12" s="155">
        <v>85</v>
      </c>
      <c r="BA12" s="159">
        <f t="shared" si="0"/>
        <v>85</v>
      </c>
      <c r="BC12" s="158">
        <v>0</v>
      </c>
      <c r="BD12" s="158">
        <v>0</v>
      </c>
      <c r="BE12" s="158">
        <v>0</v>
      </c>
      <c r="BF12" s="158">
        <v>0</v>
      </c>
      <c r="BG12" s="158">
        <v>0</v>
      </c>
      <c r="BH12" s="158">
        <v>0</v>
      </c>
      <c r="BI12" s="158">
        <v>0</v>
      </c>
      <c r="BJ12" s="158">
        <v>0</v>
      </c>
      <c r="BK12" s="158">
        <v>0</v>
      </c>
      <c r="BL12" s="158">
        <v>0</v>
      </c>
      <c r="BM12" s="158">
        <v>0</v>
      </c>
      <c r="BN12" s="158">
        <v>85</v>
      </c>
      <c r="BP12" s="80">
        <f t="shared" si="1"/>
        <v>85</v>
      </c>
      <c r="BQ12" s="80">
        <f t="shared" si="2"/>
        <v>85</v>
      </c>
      <c r="BR12" s="80">
        <f t="shared" si="3"/>
        <v>85</v>
      </c>
      <c r="BU12" s="80">
        <f t="shared" si="4"/>
        <v>85</v>
      </c>
      <c r="BV12" s="80">
        <f t="shared" si="5"/>
        <v>85</v>
      </c>
      <c r="BW12" s="80">
        <f t="shared" si="6"/>
        <v>85</v>
      </c>
    </row>
    <row r="13" spans="1:75" s="80" customFormat="1" ht="75" x14ac:dyDescent="0.25">
      <c r="A13" s="174">
        <f t="shared" si="7"/>
        <v>10</v>
      </c>
      <c r="B13" s="80">
        <f>IF(LEN(D13)&gt;0,VLOOKUP(D13,'1. Lists'!$E$3:$J$52,6,FALSE),"")</f>
        <v>16</v>
      </c>
      <c r="C13" s="80" t="str">
        <f>IF(LEN(D13)&gt;0,VLOOKUP(D13,'1. Lists'!$E$3:$F$52,2,FALSE),"")</f>
        <v>Financial Services</v>
      </c>
      <c r="D13" s="120" t="s">
        <v>374</v>
      </c>
      <c r="E13" s="179"/>
      <c r="F13" s="65"/>
      <c r="G13" s="65"/>
      <c r="H13" s="80">
        <f>IF(LEN(I13)&gt;0,VLOOKUP(I13,'1. Lists'!$T:$U,2,FALSE),"")</f>
        <v>63</v>
      </c>
      <c r="I13" s="152" t="s">
        <v>441</v>
      </c>
      <c r="J13" s="160"/>
      <c r="K13" s="80">
        <f>IF(LEN(L13)&gt;0,VLOOKUP(L13,'1. Lists'!$AK:$AL,2,FALSE),"")</f>
        <v>9</v>
      </c>
      <c r="L13" s="144" t="s">
        <v>159</v>
      </c>
      <c r="M13" s="168">
        <f>IF(LEN(N13)&gt;0,VLOOKUP(N13,'1. Lists'!$AN:$AQ,4,FALSE),"")</f>
        <v>2</v>
      </c>
      <c r="N13" s="180" t="s">
        <v>382</v>
      </c>
      <c r="O13" s="80">
        <f>IF(LEN(P13)&gt;0,VLOOKUP(P13,'1. Lists'!$AA:$AC,3,FALSE),"")</f>
        <v>4</v>
      </c>
      <c r="P13" s="143" t="s">
        <v>41</v>
      </c>
      <c r="Q13" s="73">
        <f>IF(LEN(R13)&gt;0,VLOOKUP(R13,'1. Lists'!$W:$Y,3,FALSE),"")</f>
        <v>1</v>
      </c>
      <c r="R13" s="142" t="s">
        <v>169</v>
      </c>
      <c r="S13" s="73">
        <f>IF(LEN(T13)&gt;0,VLOOKUP(T13,'1. Lists'!$AH:$AI,2,FALSE),"")</f>
        <v>11</v>
      </c>
      <c r="T13" s="146" t="s">
        <v>396</v>
      </c>
      <c r="U13" s="76">
        <f>IF(LEN(V13)&gt;0,VLOOKUP(V13,'1. Lists'!$AE:$AF,2,FALSE),"")</f>
        <v>11</v>
      </c>
      <c r="V13" s="181" t="s">
        <v>355</v>
      </c>
      <c r="W13" s="182"/>
      <c r="X13" s="183"/>
      <c r="Y13" s="78"/>
      <c r="Z13" s="132" t="s">
        <v>824</v>
      </c>
      <c r="AA13" s="132" t="s">
        <v>825</v>
      </c>
      <c r="AB13" s="80">
        <f>IF(LEN(AC13)&gt;0,VLOOKUP(AC13,'1. Lists'!$AV$3:$AX$7,3,FALSE),"")</f>
        <v>3</v>
      </c>
      <c r="AC13" s="151" t="s">
        <v>4</v>
      </c>
      <c r="AD13" s="80">
        <f>IF(LEN(AE13)&gt;0,VLOOKUP(AE13,'1. Lists'!$AZ$3:$BB$7,3,FALSE),"")</f>
        <v>2</v>
      </c>
      <c r="AE13" s="152" t="s">
        <v>9</v>
      </c>
      <c r="AF13" s="160"/>
      <c r="AG13" s="160"/>
      <c r="AH13" s="80">
        <f>IF(LEN(AI13)&gt;0,VLOOKUP(AI13,'1. Lists'!$BD$3:$BF$15,3,FALSE),"")</f>
        <v>5</v>
      </c>
      <c r="AI13" s="142" t="s">
        <v>340</v>
      </c>
      <c r="AJ13" s="143" t="s">
        <v>68</v>
      </c>
      <c r="AK13" s="144" t="s">
        <v>461</v>
      </c>
      <c r="AL13" s="125" t="s">
        <v>374</v>
      </c>
      <c r="AM13" s="185" t="s">
        <v>762</v>
      </c>
      <c r="AN13" s="160"/>
      <c r="AO13" s="185">
        <v>0.95</v>
      </c>
      <c r="AP13" s="184" t="s">
        <v>798</v>
      </c>
      <c r="AQ13" s="160"/>
      <c r="AR13" s="160"/>
      <c r="AS13" s="160"/>
      <c r="AT13" s="160"/>
      <c r="AU13" s="144" t="s">
        <v>460</v>
      </c>
      <c r="AV13" s="80" t="str">
        <f>IF(LEN(AW13)&gt;0,VLOOKUP(AW13,'1. Lists'!$BQ:$BR,2,FALSE),"")</f>
        <v>LAST</v>
      </c>
      <c r="AW13" s="151" t="s">
        <v>190</v>
      </c>
      <c r="AX13" s="80">
        <f>IF(LEN(AY13)&gt;0,VLOOKUP(AY13,'1. Lists'!$BU$3:$BW$5,3,FALSE),"")</f>
        <v>2</v>
      </c>
      <c r="AY13" s="152" t="s">
        <v>82</v>
      </c>
      <c r="AZ13" s="155">
        <v>95</v>
      </c>
      <c r="BA13" s="159">
        <f t="shared" si="0"/>
        <v>95</v>
      </c>
      <c r="BC13" s="158">
        <v>0</v>
      </c>
      <c r="BD13" s="158">
        <v>0</v>
      </c>
      <c r="BE13" s="158">
        <v>0</v>
      </c>
      <c r="BF13" s="158">
        <v>0</v>
      </c>
      <c r="BG13" s="158">
        <v>0</v>
      </c>
      <c r="BH13" s="158">
        <v>0</v>
      </c>
      <c r="BI13" s="158">
        <v>0</v>
      </c>
      <c r="BJ13" s="158">
        <v>0</v>
      </c>
      <c r="BK13" s="158">
        <v>0</v>
      </c>
      <c r="BL13" s="158">
        <v>0</v>
      </c>
      <c r="BM13" s="158">
        <v>0</v>
      </c>
      <c r="BN13" s="158">
        <v>95</v>
      </c>
      <c r="BP13" s="80">
        <f t="shared" si="1"/>
        <v>95</v>
      </c>
      <c r="BQ13" s="80">
        <f t="shared" si="2"/>
        <v>95</v>
      </c>
      <c r="BR13" s="80">
        <f t="shared" si="3"/>
        <v>95</v>
      </c>
      <c r="BU13" s="80">
        <f t="shared" si="4"/>
        <v>95</v>
      </c>
      <c r="BV13" s="80">
        <f t="shared" si="5"/>
        <v>95</v>
      </c>
      <c r="BW13" s="80">
        <f t="shared" si="6"/>
        <v>95</v>
      </c>
    </row>
    <row r="14" spans="1:75" s="80" customFormat="1" ht="75" x14ac:dyDescent="0.25">
      <c r="A14" s="174">
        <f t="shared" si="7"/>
        <v>11</v>
      </c>
      <c r="B14" s="80">
        <f>IF(LEN(D14)&gt;0,VLOOKUP(D14,'1. Lists'!$E$3:$J$52,6,FALSE),"")</f>
        <v>16</v>
      </c>
      <c r="C14" s="80" t="str">
        <f>IF(LEN(D14)&gt;0,VLOOKUP(D14,'1. Lists'!$E$3:$F$52,2,FALSE),"")</f>
        <v>Financial Services</v>
      </c>
      <c r="D14" s="120" t="s">
        <v>374</v>
      </c>
      <c r="E14" s="179"/>
      <c r="F14" s="65"/>
      <c r="G14" s="65"/>
      <c r="H14" s="80">
        <f>IF(LEN(I14)&gt;0,VLOOKUP(I14,'1. Lists'!$T:$U,2,FALSE),"")</f>
        <v>63</v>
      </c>
      <c r="I14" s="152" t="s">
        <v>441</v>
      </c>
      <c r="J14" s="160"/>
      <c r="K14" s="80">
        <f>IF(LEN(L14)&gt;0,VLOOKUP(L14,'1. Lists'!$AK:$AL,2,FALSE),"")</f>
        <v>9</v>
      </c>
      <c r="L14" s="144" t="s">
        <v>159</v>
      </c>
      <c r="M14" s="168">
        <f>IF(LEN(N14)&gt;0,VLOOKUP(N14,'1. Lists'!$AN:$AQ,4,FALSE),"")</f>
        <v>2</v>
      </c>
      <c r="N14" s="180" t="s">
        <v>382</v>
      </c>
      <c r="O14" s="80">
        <f>IF(LEN(P14)&gt;0,VLOOKUP(P14,'1. Lists'!$AA:$AC,3,FALSE),"")</f>
        <v>4</v>
      </c>
      <c r="P14" s="143" t="s">
        <v>41</v>
      </c>
      <c r="Q14" s="73">
        <f>IF(LEN(R14)&gt;0,VLOOKUP(R14,'1. Lists'!$W:$Y,3,FALSE),"")</f>
        <v>1</v>
      </c>
      <c r="R14" s="142" t="s">
        <v>169</v>
      </c>
      <c r="S14" s="73">
        <f>IF(LEN(T14)&gt;0,VLOOKUP(T14,'1. Lists'!$AH:$AI,2,FALSE),"")</f>
        <v>11</v>
      </c>
      <c r="T14" s="146" t="s">
        <v>396</v>
      </c>
      <c r="U14" s="76">
        <f>IF(LEN(V14)&gt;0,VLOOKUP(V14,'1. Lists'!$AE:$AF,2,FALSE),"")</f>
        <v>11</v>
      </c>
      <c r="V14" s="181" t="s">
        <v>355</v>
      </c>
      <c r="W14" s="182"/>
      <c r="X14" s="183"/>
      <c r="Y14" s="78"/>
      <c r="Z14" s="132" t="s">
        <v>826</v>
      </c>
      <c r="AA14" s="132" t="s">
        <v>564</v>
      </c>
      <c r="AB14" s="80">
        <f>IF(LEN(AC14)&gt;0,VLOOKUP(AC14,'1. Lists'!$AV$3:$AX$7,3,FALSE),"")</f>
        <v>3</v>
      </c>
      <c r="AC14" s="151" t="s">
        <v>4</v>
      </c>
      <c r="AD14" s="80">
        <f>IF(LEN(AE14)&gt;0,VLOOKUP(AE14,'1. Lists'!$AZ$3:$BB$7,3,FALSE),"")</f>
        <v>2</v>
      </c>
      <c r="AE14" s="152" t="s">
        <v>9</v>
      </c>
      <c r="AF14" s="160"/>
      <c r="AG14" s="160"/>
      <c r="AH14" s="80">
        <f>IF(LEN(AI14)&gt;0,VLOOKUP(AI14,'1. Lists'!$BD$3:$BF$15,3,FALSE),"")</f>
        <v>5</v>
      </c>
      <c r="AI14" s="142" t="s">
        <v>340</v>
      </c>
      <c r="AJ14" s="143" t="s">
        <v>68</v>
      </c>
      <c r="AK14" s="144" t="s">
        <v>461</v>
      </c>
      <c r="AL14" s="125" t="s">
        <v>374</v>
      </c>
      <c r="AM14" s="185" t="s">
        <v>762</v>
      </c>
      <c r="AN14" s="160"/>
      <c r="AO14" s="185">
        <v>0.05</v>
      </c>
      <c r="AP14" s="184" t="s">
        <v>798</v>
      </c>
      <c r="AQ14" s="160"/>
      <c r="AR14" s="160"/>
      <c r="AS14" s="160"/>
      <c r="AT14" s="160"/>
      <c r="AU14" s="144" t="s">
        <v>460</v>
      </c>
      <c r="AV14" s="80" t="str">
        <f>IF(LEN(AW14)&gt;0,VLOOKUP(AW14,'1. Lists'!$BQ:$BR,2,FALSE),"")</f>
        <v>LASTREV</v>
      </c>
      <c r="AW14" s="151" t="s">
        <v>192</v>
      </c>
      <c r="AX14" s="80">
        <f>IF(LEN(AY14)&gt;0,VLOOKUP(AY14,'1. Lists'!$BU$3:$BW$5,3,FALSE),"")</f>
        <v>2</v>
      </c>
      <c r="AY14" s="152" t="s">
        <v>82</v>
      </c>
      <c r="AZ14" s="155">
        <v>5</v>
      </c>
      <c r="BA14" s="159">
        <f t="shared" si="0"/>
        <v>5</v>
      </c>
      <c r="BC14" s="158">
        <v>0</v>
      </c>
      <c r="BD14" s="158">
        <v>0</v>
      </c>
      <c r="BE14" s="158">
        <v>0</v>
      </c>
      <c r="BF14" s="158">
        <v>0</v>
      </c>
      <c r="BG14" s="158">
        <v>0</v>
      </c>
      <c r="BH14" s="158">
        <v>0</v>
      </c>
      <c r="BI14" s="158">
        <v>0</v>
      </c>
      <c r="BJ14" s="158">
        <v>0</v>
      </c>
      <c r="BK14" s="158">
        <v>0</v>
      </c>
      <c r="BL14" s="158">
        <v>0</v>
      </c>
      <c r="BM14" s="158">
        <v>0</v>
      </c>
      <c r="BN14" s="158">
        <v>5</v>
      </c>
      <c r="BP14" s="80">
        <f t="shared" si="1"/>
        <v>5</v>
      </c>
      <c r="BQ14" s="80">
        <f t="shared" si="2"/>
        <v>5</v>
      </c>
      <c r="BR14" s="80">
        <f t="shared" si="3"/>
        <v>5</v>
      </c>
      <c r="BU14" s="80">
        <f t="shared" si="4"/>
        <v>5</v>
      </c>
      <c r="BV14" s="80">
        <f t="shared" si="5"/>
        <v>5</v>
      </c>
      <c r="BW14" s="80">
        <f t="shared" si="6"/>
        <v>5</v>
      </c>
    </row>
    <row r="15" spans="1:75" ht="75" x14ac:dyDescent="0.25">
      <c r="A15" s="174">
        <f t="shared" si="7"/>
        <v>12</v>
      </c>
      <c r="B15" s="66">
        <f>IF(LEN(D15)&gt;0,VLOOKUP(D15,'1. Lists'!$E$3:$J$52,6,FALSE),"")</f>
        <v>16</v>
      </c>
      <c r="C15" s="66" t="str">
        <f>IF(LEN(D15)&gt;0,VLOOKUP(D15,'1. Lists'!$E$3:$F$52,2,FALSE),"")</f>
        <v>Financial Services</v>
      </c>
      <c r="D15" s="120" t="s">
        <v>374</v>
      </c>
      <c r="E15" s="121"/>
      <c r="F15" s="65" t="str">
        <f>IF(E15&gt;0,VLOOKUP(E15,'2. Top Layer'!$A:$C,3,FALSE),"")</f>
        <v/>
      </c>
      <c r="G15" s="65" t="str">
        <f>IF(E15&gt;0,VLOOKUP(E15,'2. Top Layer'!$A:$T,17,FALSE),"")</f>
        <v/>
      </c>
      <c r="H15" s="66">
        <f>IF(LEN(I15)&gt;0,VLOOKUP(I15,'1. Lists'!$T:$U,2,FALSE),"")</f>
        <v>67</v>
      </c>
      <c r="I15" s="122" t="s">
        <v>437</v>
      </c>
      <c r="J15" s="123"/>
      <c r="K15" s="66">
        <f>IF(LEN(L15)&gt;0,VLOOKUP(L15,'1. Lists'!$AK:$AL,2,FALSE),"")</f>
        <v>9</v>
      </c>
      <c r="L15" s="124" t="s">
        <v>159</v>
      </c>
      <c r="M15" s="70">
        <f>IF(LEN(N15)&gt;0,VLOOKUP(N15,'1. Lists'!$AN:$AQ,4,FALSE),"")</f>
        <v>2</v>
      </c>
      <c r="N15" s="125" t="s">
        <v>382</v>
      </c>
      <c r="O15" s="66">
        <f>IF(LEN(P15)&gt;0,VLOOKUP(P15,'1. Lists'!$AA:$AC,3,FALSE),"")</f>
        <v>4</v>
      </c>
      <c r="P15" s="126" t="s">
        <v>41</v>
      </c>
      <c r="Q15" s="73">
        <f>IF(LEN(R15)&gt;0,VLOOKUP(R15,'1. Lists'!$W:$Y,3,FALSE),"")</f>
        <v>1</v>
      </c>
      <c r="R15" s="127" t="s">
        <v>169</v>
      </c>
      <c r="S15" s="73">
        <f>IF(LEN(T15)&gt;0,VLOOKUP(T15,'1. Lists'!$AH:$AI,2,FALSE),"")</f>
        <v>18</v>
      </c>
      <c r="T15" s="128" t="s">
        <v>403</v>
      </c>
      <c r="U15" s="76">
        <f>IF(LEN(V15)&gt;0,VLOOKUP(V15,'1. Lists'!$AE:$AF,2,FALSE),"")</f>
        <v>11</v>
      </c>
      <c r="V15" s="129" t="s">
        <v>355</v>
      </c>
      <c r="W15" s="130"/>
      <c r="X15" s="131" t="str">
        <f>IF(W15&gt;0,VLOOKUP($W15,'3. Capital'!$A:$J,4,FALSE),"")</f>
        <v/>
      </c>
      <c r="Y15" s="78" t="str">
        <f>IF(W15&gt;0,VLOOKUP($W15,'3. Capital'!$A:$J,10,FALSE),"")</f>
        <v/>
      </c>
      <c r="Z15" s="132" t="s">
        <v>465</v>
      </c>
      <c r="AA15" s="132" t="s">
        <v>466</v>
      </c>
      <c r="AB15" s="66">
        <f>IF(LEN(AC15)&gt;0,VLOOKUP(AC15,'1. Lists'!$AV$3:$AX$7,3,FALSE),"")</f>
        <v>3</v>
      </c>
      <c r="AC15" s="133" t="s">
        <v>4</v>
      </c>
      <c r="AD15" s="66">
        <f>IF(LEN(AE15)&gt;0,VLOOKUP(AE15,'1. Lists'!$AZ$3:$BB$7,3,FALSE),"")</f>
        <v>2</v>
      </c>
      <c r="AE15" s="122" t="s">
        <v>9</v>
      </c>
      <c r="AF15" s="123"/>
      <c r="AG15" s="123"/>
      <c r="AH15" s="66">
        <f>IF(LEN(AI15)&gt;0,VLOOKUP(AI15,'1. Lists'!$BD$3:$BF$15,3,FALSE),"")</f>
        <v>5</v>
      </c>
      <c r="AI15" s="127" t="s">
        <v>340</v>
      </c>
      <c r="AJ15" s="134" t="s">
        <v>68</v>
      </c>
      <c r="AK15" s="135" t="s">
        <v>461</v>
      </c>
      <c r="AL15" s="125" t="s">
        <v>374</v>
      </c>
      <c r="AM15" s="145">
        <v>1</v>
      </c>
      <c r="AN15" s="123"/>
      <c r="AO15" s="137" t="s">
        <v>622</v>
      </c>
      <c r="AP15" s="137" t="s">
        <v>623</v>
      </c>
      <c r="AQ15" s="123"/>
      <c r="AR15" s="123"/>
      <c r="AS15" s="123"/>
      <c r="AT15" s="123"/>
      <c r="AU15" s="135" t="s">
        <v>460</v>
      </c>
      <c r="AV15" s="80" t="str">
        <f>IF(LEN(AW15)&gt;0,VLOOKUP(AW15,'1. Lists'!$BQ:$BR,2,FALSE),"")</f>
        <v>STD</v>
      </c>
      <c r="AW15" s="133" t="s">
        <v>78</v>
      </c>
      <c r="AX15" s="80">
        <f>IF(LEN(AY15)&gt;0,VLOOKUP(AY15,'1. Lists'!$BU$3:$BW$5,3,FALSE),"")</f>
        <v>2</v>
      </c>
      <c r="AY15" s="138" t="s">
        <v>82</v>
      </c>
      <c r="AZ15" s="139">
        <v>100</v>
      </c>
      <c r="BA15" s="82">
        <f t="shared" ref="BA15:BA60" si="8">IF(LEN(AZ15)&gt;0,AZ15,"")</f>
        <v>100</v>
      </c>
      <c r="BC15" s="141">
        <v>100</v>
      </c>
      <c r="BD15" s="141">
        <v>100</v>
      </c>
      <c r="BE15" s="141">
        <v>100</v>
      </c>
      <c r="BF15" s="141">
        <v>100</v>
      </c>
      <c r="BG15" s="141">
        <v>100</v>
      </c>
      <c r="BH15" s="141">
        <v>100</v>
      </c>
      <c r="BI15" s="141">
        <v>100</v>
      </c>
      <c r="BJ15" s="141">
        <v>100</v>
      </c>
      <c r="BK15" s="141">
        <v>100</v>
      </c>
      <c r="BL15" s="141">
        <v>100</v>
      </c>
      <c r="BM15" s="141">
        <v>100</v>
      </c>
      <c r="BN15" s="141">
        <v>100</v>
      </c>
      <c r="BP15" s="66">
        <f t="shared" ref="BP15:BP60" si="9">MAX(BC15:BN15)</f>
        <v>100</v>
      </c>
      <c r="BQ15" s="66">
        <f t="shared" ref="BQ15:BQ60" si="10">SUM(BC15:BN15)</f>
        <v>1200</v>
      </c>
      <c r="BR15" s="66">
        <f t="shared" ref="BR15:BR60" si="11">IF(SUM(BC15:BN15)&gt;0,SUM(BC15:BN15)/COUNTIF(BC15:BN15,"&gt;0"),0)</f>
        <v>100</v>
      </c>
      <c r="BS15" s="66">
        <v>0</v>
      </c>
      <c r="BU15" s="66">
        <f t="shared" ref="BU15:BU60" si="12">IF(SUM(BC15:BN15)&gt;0,SUM(BC15:BN15)/COUNTIF(BC15:BN15,"&gt;0"),0)</f>
        <v>100</v>
      </c>
      <c r="BV15" s="66">
        <f t="shared" ref="BV15:BV60" si="13">IF(BN15&gt;0,BN15,IF(BM15&gt;0,BM15,IF(BL15&gt;0,BL15,IF(BK15&gt;0,BK15,IF(BJ15&gt;0,BJ15,IF(BI15&gt;0,BI15,IF(BH15&gt;0,BH15,IF(BG15&gt;0,BG15,IF(BF15&gt;0,BF15,IF(BE15&gt;0,BE15,IF(BD15&gt;0,BD15,BC15)))))))))))</f>
        <v>100</v>
      </c>
      <c r="BW15" s="66">
        <f t="shared" ref="BW15:BW60" si="14">IF(BN15&gt;0,BN15,IF(BM15&gt;0,BM15,IF(BL15&gt;0,BL15,IF(BK15&gt;0,BK15,IF(BJ15&gt;0,BJ15,IF(BI15&gt;0,BI15,IF(BH15&gt;0,BH15,IF(BG15&gt;0,BG15,IF(BF15&gt;0,BF15,IF(BE15&gt;0,BE15,IF(BD15&gt;0,BD15,BC15)))))))))))</f>
        <v>100</v>
      </c>
    </row>
    <row r="16" spans="1:75" ht="75" x14ac:dyDescent="0.25">
      <c r="A16" s="174">
        <f t="shared" si="7"/>
        <v>13</v>
      </c>
      <c r="B16" s="66">
        <f>IF(LEN(D16)&gt;0,VLOOKUP(D16,'1. Lists'!$E$3:$J$52,6,FALSE),"")</f>
        <v>18</v>
      </c>
      <c r="C16" s="66" t="str">
        <f>IF(LEN(D16)&gt;0,VLOOKUP(D16,'1. Lists'!$E$3:$F$52,2,FALSE),"")</f>
        <v>Financial Services</v>
      </c>
      <c r="D16" s="120" t="s">
        <v>376</v>
      </c>
      <c r="E16" s="121"/>
      <c r="F16" s="65" t="str">
        <f>IF(E16&gt;0,VLOOKUP(E16,'2. Top Layer'!$A:$C,3,FALSE),"")</f>
        <v/>
      </c>
      <c r="G16" s="65" t="str">
        <f>IF(E16&gt;0,VLOOKUP(E16,'2. Top Layer'!$A:$T,17,FALSE),"")</f>
        <v/>
      </c>
      <c r="H16" s="66">
        <f>IF(LEN(I16)&gt;0,VLOOKUP(I16,'1. Lists'!$T:$U,2,FALSE),"")</f>
        <v>65</v>
      </c>
      <c r="I16" s="122" t="s">
        <v>657</v>
      </c>
      <c r="J16" s="123"/>
      <c r="K16" s="66">
        <f>IF(LEN(L16)&gt;0,VLOOKUP(L16,'1. Lists'!$AK:$AL,2,FALSE),"")</f>
        <v>9</v>
      </c>
      <c r="L16" s="124" t="s">
        <v>159</v>
      </c>
      <c r="M16" s="70">
        <f>IF(LEN(N16)&gt;0,VLOOKUP(N16,'1. Lists'!$AN:$AQ,4,FALSE),"")</f>
        <v>2</v>
      </c>
      <c r="N16" s="125" t="s">
        <v>382</v>
      </c>
      <c r="O16" s="66">
        <f>IF(LEN(P16)&gt;0,VLOOKUP(P16,'1. Lists'!$AA:$AC,3,FALSE),"")</f>
        <v>4</v>
      </c>
      <c r="P16" s="126" t="s">
        <v>41</v>
      </c>
      <c r="Q16" s="73">
        <f>IF(LEN(R16)&gt;0,VLOOKUP(R16,'1. Lists'!$W:$Y,3,FALSE),"")</f>
        <v>1</v>
      </c>
      <c r="R16" s="127" t="s">
        <v>169</v>
      </c>
      <c r="S16" s="73">
        <f>IF(LEN(T16)&gt;0,VLOOKUP(T16,'1. Lists'!$AH:$AI,2,FALSE),"")</f>
        <v>18</v>
      </c>
      <c r="T16" s="128" t="s">
        <v>403</v>
      </c>
      <c r="U16" s="76">
        <f>IF(LEN(V16)&gt;0,VLOOKUP(V16,'1. Lists'!$AE:$AF,2,FALSE),"")</f>
        <v>11</v>
      </c>
      <c r="V16" s="129" t="s">
        <v>355</v>
      </c>
      <c r="W16" s="130"/>
      <c r="X16" s="131" t="str">
        <f>IF(W16&gt;0,VLOOKUP($W16,'3. Capital'!$A:$J,4,FALSE),"")</f>
        <v/>
      </c>
      <c r="Y16" s="78" t="str">
        <f>IF(W16&gt;0,VLOOKUP($W16,'3. Capital'!$A:$J,10,FALSE),"")</f>
        <v/>
      </c>
      <c r="Z16" s="132" t="s">
        <v>532</v>
      </c>
      <c r="AA16" s="132" t="s">
        <v>533</v>
      </c>
      <c r="AB16" s="66">
        <f>IF(LEN(AC16)&gt;0,VLOOKUP(AC16,'1. Lists'!$AV$3:$AX$7,3,FALSE),"")</f>
        <v>2</v>
      </c>
      <c r="AC16" s="133" t="s">
        <v>13</v>
      </c>
      <c r="AD16" s="66">
        <f>IF(LEN(AE16)&gt;0,VLOOKUP(AE16,'1. Lists'!$AZ$3:$BB$7,3,FALSE),"")</f>
        <v>2</v>
      </c>
      <c r="AE16" s="122" t="s">
        <v>9</v>
      </c>
      <c r="AF16" s="123"/>
      <c r="AG16" s="123"/>
      <c r="AH16" s="66">
        <f>IF(LEN(AI16)&gt;0,VLOOKUP(AI16,'1. Lists'!$BD$3:$BF$15,3,FALSE),"")</f>
        <v>4</v>
      </c>
      <c r="AI16" s="127" t="s">
        <v>339</v>
      </c>
      <c r="AJ16" s="134" t="s">
        <v>68</v>
      </c>
      <c r="AK16" s="135" t="s">
        <v>461</v>
      </c>
      <c r="AL16" s="125" t="s">
        <v>425</v>
      </c>
      <c r="AM16" s="145">
        <v>1</v>
      </c>
      <c r="AN16" s="123"/>
      <c r="AO16" s="137" t="s">
        <v>622</v>
      </c>
      <c r="AP16" s="137" t="s">
        <v>633</v>
      </c>
      <c r="AQ16" s="123"/>
      <c r="AR16" s="123"/>
      <c r="AS16" s="123"/>
      <c r="AT16" s="123"/>
      <c r="AU16" s="135" t="s">
        <v>460</v>
      </c>
      <c r="AV16" s="80" t="str">
        <f>IF(LEN(AW16)&gt;0,VLOOKUP(AW16,'1. Lists'!$BQ:$BR,2,FALSE),"")</f>
        <v>STD</v>
      </c>
      <c r="AW16" s="133" t="s">
        <v>78</v>
      </c>
      <c r="AX16" s="80">
        <f>IF(LEN(AY16)&gt;0,VLOOKUP(AY16,'1. Lists'!$BU$3:$BW$5,3,FALSE),"")</f>
        <v>2</v>
      </c>
      <c r="AY16" s="138" t="s">
        <v>82</v>
      </c>
      <c r="AZ16" s="139">
        <v>100</v>
      </c>
      <c r="BA16" s="82">
        <f t="shared" si="8"/>
        <v>100</v>
      </c>
      <c r="BC16" s="141">
        <v>100</v>
      </c>
      <c r="BD16" s="141">
        <v>100</v>
      </c>
      <c r="BE16" s="141">
        <v>100</v>
      </c>
      <c r="BF16" s="141">
        <v>100</v>
      </c>
      <c r="BG16" s="141">
        <v>100</v>
      </c>
      <c r="BH16" s="141">
        <v>100</v>
      </c>
      <c r="BI16" s="141">
        <v>100</v>
      </c>
      <c r="BJ16" s="141">
        <v>100</v>
      </c>
      <c r="BK16" s="141">
        <v>100</v>
      </c>
      <c r="BL16" s="141">
        <v>100</v>
      </c>
      <c r="BM16" s="141">
        <v>100</v>
      </c>
      <c r="BN16" s="141">
        <v>100</v>
      </c>
      <c r="BP16" s="66">
        <f t="shared" si="9"/>
        <v>100</v>
      </c>
      <c r="BQ16" s="66">
        <f t="shared" si="10"/>
        <v>1200</v>
      </c>
      <c r="BR16" s="66">
        <f t="shared" si="11"/>
        <v>100</v>
      </c>
      <c r="BS16" s="66">
        <v>0</v>
      </c>
      <c r="BU16" s="66">
        <f t="shared" si="12"/>
        <v>100</v>
      </c>
      <c r="BV16" s="66">
        <f t="shared" si="13"/>
        <v>100</v>
      </c>
      <c r="BW16" s="66">
        <f t="shared" si="14"/>
        <v>100</v>
      </c>
    </row>
    <row r="17" spans="1:75" ht="75" x14ac:dyDescent="0.25">
      <c r="A17" s="174">
        <f t="shared" si="7"/>
        <v>14</v>
      </c>
      <c r="B17" s="66">
        <f>IF(LEN(D17)&gt;0,VLOOKUP(D17,'1. Lists'!$E$3:$J$52,6,FALSE),"")</f>
        <v>18</v>
      </c>
      <c r="C17" s="66" t="str">
        <f>IF(LEN(D17)&gt;0,VLOOKUP(D17,'1. Lists'!$E$3:$F$52,2,FALSE),"")</f>
        <v>Financial Services</v>
      </c>
      <c r="D17" s="120" t="s">
        <v>376</v>
      </c>
      <c r="E17" s="121"/>
      <c r="F17" s="65" t="str">
        <f>IF(E17&gt;0,VLOOKUP(E17,'2. Top Layer'!$A:$C,3,FALSE),"")</f>
        <v/>
      </c>
      <c r="G17" s="65" t="str">
        <f>IF(E17&gt;0,VLOOKUP(E17,'2. Top Layer'!$A:$T,17,FALSE),"")</f>
        <v/>
      </c>
      <c r="H17" s="66">
        <f>IF(LEN(I17)&gt;0,VLOOKUP(I17,'1. Lists'!$T:$U,2,FALSE),"")</f>
        <v>65</v>
      </c>
      <c r="I17" s="122" t="s">
        <v>657</v>
      </c>
      <c r="J17" s="123"/>
      <c r="K17" s="66">
        <f>IF(LEN(L17)&gt;0,VLOOKUP(L17,'1. Lists'!$AK:$AL,2,FALSE),"")</f>
        <v>9</v>
      </c>
      <c r="L17" s="124" t="s">
        <v>159</v>
      </c>
      <c r="M17" s="70">
        <f>IF(LEN(N17)&gt;0,VLOOKUP(N17,'1. Lists'!$AN:$AQ,4,FALSE),"")</f>
        <v>2</v>
      </c>
      <c r="N17" s="125" t="s">
        <v>382</v>
      </c>
      <c r="O17" s="66">
        <f>IF(LEN(P17)&gt;0,VLOOKUP(P17,'1. Lists'!$AA:$AC,3,FALSE),"")</f>
        <v>4</v>
      </c>
      <c r="P17" s="126" t="s">
        <v>41</v>
      </c>
      <c r="Q17" s="73">
        <f>IF(LEN(R17)&gt;0,VLOOKUP(R17,'1. Lists'!$W:$Y,3,FALSE),"")</f>
        <v>1</v>
      </c>
      <c r="R17" s="127" t="s">
        <v>169</v>
      </c>
      <c r="S17" s="73">
        <f>IF(LEN(T17)&gt;0,VLOOKUP(T17,'1. Lists'!$AH:$AI,2,FALSE),"")</f>
        <v>18</v>
      </c>
      <c r="T17" s="128" t="s">
        <v>403</v>
      </c>
      <c r="U17" s="76">
        <f>IF(LEN(V17)&gt;0,VLOOKUP(V17,'1. Lists'!$AE:$AF,2,FALSE),"")</f>
        <v>11</v>
      </c>
      <c r="V17" s="129" t="s">
        <v>355</v>
      </c>
      <c r="W17" s="130"/>
      <c r="X17" s="131" t="str">
        <f>IF(W17&gt;0,VLOOKUP($W17,'3. Capital'!$A:$J,4,FALSE),"")</f>
        <v/>
      </c>
      <c r="Y17" s="78" t="str">
        <f>IF(W17&gt;0,VLOOKUP($W17,'3. Capital'!$A:$J,10,FALSE),"")</f>
        <v/>
      </c>
      <c r="Z17" s="132" t="s">
        <v>534</v>
      </c>
      <c r="AA17" s="132" t="s">
        <v>535</v>
      </c>
      <c r="AB17" s="66">
        <f>IF(LEN(AC17)&gt;0,VLOOKUP(AC17,'1. Lists'!$AV$3:$AX$7,3,FALSE),"")</f>
        <v>2</v>
      </c>
      <c r="AC17" s="133" t="s">
        <v>13</v>
      </c>
      <c r="AD17" s="66">
        <f>IF(LEN(AE17)&gt;0,VLOOKUP(AE17,'1. Lists'!$AZ$3:$BB$7,3,FALSE),"")</f>
        <v>2</v>
      </c>
      <c r="AE17" s="122" t="s">
        <v>9</v>
      </c>
      <c r="AF17" s="123"/>
      <c r="AG17" s="123"/>
      <c r="AH17" s="66">
        <f>IF(LEN(AI17)&gt;0,VLOOKUP(AI17,'1. Lists'!$BD$3:$BF$15,3,FALSE),"")</f>
        <v>4</v>
      </c>
      <c r="AI17" s="127" t="s">
        <v>339</v>
      </c>
      <c r="AJ17" s="134" t="s">
        <v>68</v>
      </c>
      <c r="AK17" s="135" t="s">
        <v>461</v>
      </c>
      <c r="AL17" s="125" t="s">
        <v>425</v>
      </c>
      <c r="AM17" s="145">
        <v>1</v>
      </c>
      <c r="AN17" s="123"/>
      <c r="AO17" s="137" t="s">
        <v>622</v>
      </c>
      <c r="AP17" s="137" t="s">
        <v>832</v>
      </c>
      <c r="AQ17" s="123"/>
      <c r="AR17" s="123"/>
      <c r="AS17" s="123"/>
      <c r="AT17" s="123"/>
      <c r="AU17" s="135" t="s">
        <v>460</v>
      </c>
      <c r="AV17" s="80" t="str">
        <f>IF(LEN(AW17)&gt;0,VLOOKUP(AW17,'1. Lists'!$BQ:$BR,2,FALSE),"")</f>
        <v>STD</v>
      </c>
      <c r="AW17" s="133" t="s">
        <v>78</v>
      </c>
      <c r="AX17" s="80">
        <f>IF(LEN(AY17)&gt;0,VLOOKUP(AY17,'1. Lists'!$BU$3:$BW$5,3,FALSE),"")</f>
        <v>2</v>
      </c>
      <c r="AY17" s="138" t="s">
        <v>82</v>
      </c>
      <c r="AZ17" s="139">
        <v>100</v>
      </c>
      <c r="BA17" s="82">
        <f t="shared" si="8"/>
        <v>100</v>
      </c>
      <c r="BC17" s="141">
        <v>100</v>
      </c>
      <c r="BD17" s="141">
        <v>100</v>
      </c>
      <c r="BE17" s="141">
        <v>100</v>
      </c>
      <c r="BF17" s="141">
        <v>100</v>
      </c>
      <c r="BG17" s="141">
        <v>100</v>
      </c>
      <c r="BH17" s="141">
        <v>100</v>
      </c>
      <c r="BI17" s="141">
        <v>100</v>
      </c>
      <c r="BJ17" s="141">
        <v>100</v>
      </c>
      <c r="BK17" s="141">
        <v>100</v>
      </c>
      <c r="BL17" s="141">
        <v>100</v>
      </c>
      <c r="BM17" s="141">
        <v>100</v>
      </c>
      <c r="BN17" s="141">
        <v>100</v>
      </c>
      <c r="BP17" s="66">
        <f t="shared" si="9"/>
        <v>100</v>
      </c>
      <c r="BQ17" s="66">
        <f t="shared" si="10"/>
        <v>1200</v>
      </c>
      <c r="BR17" s="66">
        <f t="shared" si="11"/>
        <v>100</v>
      </c>
      <c r="BS17" s="66">
        <v>0</v>
      </c>
      <c r="BU17" s="66">
        <f t="shared" si="12"/>
        <v>100</v>
      </c>
      <c r="BV17" s="66">
        <f t="shared" si="13"/>
        <v>100</v>
      </c>
      <c r="BW17" s="66">
        <f t="shared" si="14"/>
        <v>100</v>
      </c>
    </row>
    <row r="18" spans="1:75" ht="75" x14ac:dyDescent="0.25">
      <c r="A18" s="174">
        <f t="shared" si="7"/>
        <v>15</v>
      </c>
      <c r="B18" s="66">
        <f>IF(LEN(D18)&gt;0,VLOOKUP(D18,'1. Lists'!$E$3:$J$52,6,FALSE),"")</f>
        <v>18</v>
      </c>
      <c r="C18" s="66" t="str">
        <f>IF(LEN(D18)&gt;0,VLOOKUP(D18,'1. Lists'!$E$3:$F$52,2,FALSE),"")</f>
        <v>Financial Services</v>
      </c>
      <c r="D18" s="120" t="s">
        <v>376</v>
      </c>
      <c r="E18" s="121"/>
      <c r="F18" s="65" t="str">
        <f>IF(E18&gt;0,VLOOKUP(E18,'2. Top Layer'!$A:$C,3,FALSE),"")</f>
        <v/>
      </c>
      <c r="G18" s="65" t="str">
        <f>IF(E18&gt;0,VLOOKUP(E18,'2. Top Layer'!$A:$T,17,FALSE),"")</f>
        <v/>
      </c>
      <c r="H18" s="66">
        <f>IF(LEN(I18)&gt;0,VLOOKUP(I18,'1. Lists'!$T:$U,2,FALSE),"")</f>
        <v>65</v>
      </c>
      <c r="I18" s="122" t="s">
        <v>657</v>
      </c>
      <c r="J18" s="123"/>
      <c r="K18" s="66">
        <f>IF(LEN(L18)&gt;0,VLOOKUP(L18,'1. Lists'!$AK:$AL,2,FALSE),"")</f>
        <v>9</v>
      </c>
      <c r="L18" s="124" t="s">
        <v>159</v>
      </c>
      <c r="M18" s="70">
        <f>IF(LEN(N18)&gt;0,VLOOKUP(N18,'1. Lists'!$AN:$AQ,4,FALSE),"")</f>
        <v>2</v>
      </c>
      <c r="N18" s="125" t="s">
        <v>382</v>
      </c>
      <c r="O18" s="66">
        <f>IF(LEN(P18)&gt;0,VLOOKUP(P18,'1. Lists'!$AA:$AC,3,FALSE),"")</f>
        <v>4</v>
      </c>
      <c r="P18" s="126" t="s">
        <v>41</v>
      </c>
      <c r="Q18" s="73">
        <f>IF(LEN(R18)&gt;0,VLOOKUP(R18,'1. Lists'!$W:$Y,3,FALSE),"")</f>
        <v>1</v>
      </c>
      <c r="R18" s="127" t="s">
        <v>169</v>
      </c>
      <c r="S18" s="73">
        <f>IF(LEN(T18)&gt;0,VLOOKUP(T18,'1. Lists'!$AH:$AI,2,FALSE),"")</f>
        <v>18</v>
      </c>
      <c r="T18" s="128" t="s">
        <v>403</v>
      </c>
      <c r="U18" s="76">
        <f>IF(LEN(V18)&gt;0,VLOOKUP(V18,'1. Lists'!$AE:$AF,2,FALSE),"")</f>
        <v>11</v>
      </c>
      <c r="V18" s="129" t="s">
        <v>355</v>
      </c>
      <c r="W18" s="130"/>
      <c r="X18" s="131" t="str">
        <f>IF(W18&gt;0,VLOOKUP($W18,'3. Capital'!$A:$J,4,FALSE),"")</f>
        <v/>
      </c>
      <c r="Y18" s="78" t="str">
        <f>IF(W18&gt;0,VLOOKUP($W18,'3. Capital'!$A:$J,10,FALSE),"")</f>
        <v/>
      </c>
      <c r="Z18" s="132" t="s">
        <v>536</v>
      </c>
      <c r="AA18" s="132" t="s">
        <v>537</v>
      </c>
      <c r="AB18" s="66">
        <f>IF(LEN(AC18)&gt;0,VLOOKUP(AC18,'1. Lists'!$AV$3:$AX$7,3,FALSE),"")</f>
        <v>2</v>
      </c>
      <c r="AC18" s="133" t="s">
        <v>13</v>
      </c>
      <c r="AD18" s="66">
        <f>IF(LEN(AE18)&gt;0,VLOOKUP(AE18,'1. Lists'!$AZ$3:$BB$7,3,FALSE),"")</f>
        <v>2</v>
      </c>
      <c r="AE18" s="122" t="s">
        <v>9</v>
      </c>
      <c r="AF18" s="123"/>
      <c r="AG18" s="123"/>
      <c r="AH18" s="66">
        <f>IF(LEN(AI18)&gt;0,VLOOKUP(AI18,'1. Lists'!$BD$3:$BF$15,3,FALSE),"")</f>
        <v>4</v>
      </c>
      <c r="AI18" s="127" t="s">
        <v>339</v>
      </c>
      <c r="AJ18" s="134" t="s">
        <v>68</v>
      </c>
      <c r="AK18" s="135" t="s">
        <v>461</v>
      </c>
      <c r="AL18" s="125" t="s">
        <v>425</v>
      </c>
      <c r="AM18" s="136" t="s">
        <v>566</v>
      </c>
      <c r="AN18" s="123"/>
      <c r="AO18" s="137" t="s">
        <v>634</v>
      </c>
      <c r="AP18" s="137" t="s">
        <v>633</v>
      </c>
      <c r="AQ18" s="123"/>
      <c r="AR18" s="123"/>
      <c r="AS18" s="123"/>
      <c r="AT18" s="123"/>
      <c r="AU18" s="135" t="s">
        <v>460</v>
      </c>
      <c r="AV18" s="80" t="str">
        <f>IF(LEN(AW18)&gt;0,VLOOKUP(AW18,'1. Lists'!$BQ:$BR,2,FALSE),"")</f>
        <v>LAST</v>
      </c>
      <c r="AW18" s="133" t="s">
        <v>190</v>
      </c>
      <c r="AX18" s="80">
        <f>IF(LEN(AY18)&gt;0,VLOOKUP(AY18,'1. Lists'!$BU$3:$BW$5,3,FALSE),"")</f>
        <v>3</v>
      </c>
      <c r="AY18" s="138" t="s">
        <v>83</v>
      </c>
      <c r="AZ18" s="139">
        <v>1</v>
      </c>
      <c r="BA18" s="82">
        <f t="shared" si="8"/>
        <v>1</v>
      </c>
      <c r="BC18" s="141">
        <v>0</v>
      </c>
      <c r="BD18" s="141">
        <v>0</v>
      </c>
      <c r="BE18" s="141">
        <v>0</v>
      </c>
      <c r="BF18" s="141">
        <v>0</v>
      </c>
      <c r="BG18" s="141">
        <v>0</v>
      </c>
      <c r="BH18" s="141">
        <v>0</v>
      </c>
      <c r="BI18" s="141">
        <v>0</v>
      </c>
      <c r="BJ18" s="141">
        <v>0</v>
      </c>
      <c r="BK18" s="141">
        <v>0</v>
      </c>
      <c r="BL18" s="141">
        <v>0</v>
      </c>
      <c r="BM18" s="141">
        <v>0</v>
      </c>
      <c r="BN18" s="141">
        <v>1</v>
      </c>
      <c r="BP18" s="66">
        <f t="shared" si="9"/>
        <v>1</v>
      </c>
      <c r="BQ18" s="66">
        <f t="shared" si="10"/>
        <v>1</v>
      </c>
      <c r="BR18" s="66">
        <f t="shared" si="11"/>
        <v>1</v>
      </c>
      <c r="BS18" s="66">
        <v>0</v>
      </c>
      <c r="BU18" s="66">
        <f t="shared" si="12"/>
        <v>1</v>
      </c>
      <c r="BV18" s="66">
        <f t="shared" si="13"/>
        <v>1</v>
      </c>
      <c r="BW18" s="66">
        <f t="shared" si="14"/>
        <v>1</v>
      </c>
    </row>
    <row r="19" spans="1:75" ht="75" x14ac:dyDescent="0.25">
      <c r="A19" s="174">
        <f t="shared" si="7"/>
        <v>16</v>
      </c>
      <c r="B19" s="66">
        <f>IF(LEN(D19)&gt;0,VLOOKUP(D19,'1. Lists'!$E$3:$J$52,6,FALSE),"")</f>
        <v>18</v>
      </c>
      <c r="C19" s="66" t="str">
        <f>IF(LEN(D19)&gt;0,VLOOKUP(D19,'1. Lists'!$E$3:$F$52,2,FALSE),"")</f>
        <v>Financial Services</v>
      </c>
      <c r="D19" s="120" t="s">
        <v>376</v>
      </c>
      <c r="E19" s="121"/>
      <c r="F19" s="65" t="str">
        <f>IF(E19&gt;0,VLOOKUP(E19,'2. Top Layer'!$A:$C,3,FALSE),"")</f>
        <v/>
      </c>
      <c r="G19" s="65" t="str">
        <f>IF(E19&gt;0,VLOOKUP(E19,'2. Top Layer'!$A:$T,17,FALSE),"")</f>
        <v/>
      </c>
      <c r="H19" s="66">
        <f>IF(LEN(I19)&gt;0,VLOOKUP(I19,'1. Lists'!$T:$U,2,FALSE),"")</f>
        <v>67</v>
      </c>
      <c r="I19" s="122" t="s">
        <v>437</v>
      </c>
      <c r="J19" s="123"/>
      <c r="K19" s="66">
        <f>IF(LEN(L19)&gt;0,VLOOKUP(L19,'1. Lists'!$AK:$AL,2,FALSE),"")</f>
        <v>9</v>
      </c>
      <c r="L19" s="124" t="s">
        <v>159</v>
      </c>
      <c r="M19" s="70">
        <f>IF(LEN(N19)&gt;0,VLOOKUP(N19,'1. Lists'!$AN:$AQ,4,FALSE),"")</f>
        <v>2</v>
      </c>
      <c r="N19" s="125" t="s">
        <v>382</v>
      </c>
      <c r="O19" s="66">
        <f>IF(LEN(P19)&gt;0,VLOOKUP(P19,'1. Lists'!$AA:$AC,3,FALSE),"")</f>
        <v>4</v>
      </c>
      <c r="P19" s="126" t="s">
        <v>41</v>
      </c>
      <c r="Q19" s="73">
        <f>IF(LEN(R19)&gt;0,VLOOKUP(R19,'1. Lists'!$W:$Y,3,FALSE),"")</f>
        <v>1</v>
      </c>
      <c r="R19" s="127" t="s">
        <v>169</v>
      </c>
      <c r="S19" s="73">
        <f>IF(LEN(T19)&gt;0,VLOOKUP(T19,'1. Lists'!$AH:$AI,2,FALSE),"")</f>
        <v>18</v>
      </c>
      <c r="T19" s="128" t="s">
        <v>403</v>
      </c>
      <c r="U19" s="76">
        <f>IF(LEN(V19)&gt;0,VLOOKUP(V19,'1. Lists'!$AE:$AF,2,FALSE),"")</f>
        <v>11</v>
      </c>
      <c r="V19" s="129" t="s">
        <v>355</v>
      </c>
      <c r="W19" s="130"/>
      <c r="X19" s="131" t="str">
        <f>IF(W19&gt;0,VLOOKUP($W19,'3. Capital'!$A:$J,4,FALSE),"")</f>
        <v/>
      </c>
      <c r="Y19" s="78" t="str">
        <f>IF(W19&gt;0,VLOOKUP($W19,'3. Capital'!$A:$J,10,FALSE),"")</f>
        <v/>
      </c>
      <c r="Z19" s="132" t="s">
        <v>538</v>
      </c>
      <c r="AA19" s="132" t="s">
        <v>539</v>
      </c>
      <c r="AB19" s="66">
        <f>IF(LEN(AC19)&gt;0,VLOOKUP(AC19,'1. Lists'!$AV$3:$AX$7,3,FALSE),"")</f>
        <v>2</v>
      </c>
      <c r="AC19" s="133" t="s">
        <v>13</v>
      </c>
      <c r="AD19" s="66">
        <f>IF(LEN(AE19)&gt;0,VLOOKUP(AE19,'1. Lists'!$AZ$3:$BB$7,3,FALSE),"")</f>
        <v>2</v>
      </c>
      <c r="AE19" s="122" t="s">
        <v>9</v>
      </c>
      <c r="AF19" s="123"/>
      <c r="AG19" s="123"/>
      <c r="AH19" s="66">
        <f>IF(LEN(AI19)&gt;0,VLOOKUP(AI19,'1. Lists'!$BD$3:$BF$15,3,FALSE),"")</f>
        <v>4</v>
      </c>
      <c r="AI19" s="127" t="s">
        <v>339</v>
      </c>
      <c r="AJ19" s="134" t="s">
        <v>68</v>
      </c>
      <c r="AK19" s="135" t="s">
        <v>461</v>
      </c>
      <c r="AL19" s="125" t="s">
        <v>425</v>
      </c>
      <c r="AM19" s="136">
        <v>12</v>
      </c>
      <c r="AN19" s="123"/>
      <c r="AO19" s="137" t="s">
        <v>601</v>
      </c>
      <c r="AP19" s="137" t="s">
        <v>635</v>
      </c>
      <c r="AQ19" s="123"/>
      <c r="AR19" s="123"/>
      <c r="AS19" s="123"/>
      <c r="AT19" s="123"/>
      <c r="AU19" s="135" t="s">
        <v>460</v>
      </c>
      <c r="AV19" s="80" t="str">
        <f>IF(LEN(AW19)&gt;0,VLOOKUP(AW19,'1. Lists'!$BQ:$BR,2,FALSE),"")</f>
        <v>ACC</v>
      </c>
      <c r="AW19" s="133" t="s">
        <v>14</v>
      </c>
      <c r="AX19" s="80">
        <f>IF(LEN(AY19)&gt;0,VLOOKUP(AY19,'1. Lists'!$BU$3:$BW$5,3,FALSE),"")</f>
        <v>3</v>
      </c>
      <c r="AY19" s="138" t="s">
        <v>83</v>
      </c>
      <c r="AZ19" s="139">
        <v>12</v>
      </c>
      <c r="BA19" s="82">
        <f t="shared" si="8"/>
        <v>12</v>
      </c>
      <c r="BC19" s="141">
        <v>1</v>
      </c>
      <c r="BD19" s="141">
        <v>1</v>
      </c>
      <c r="BE19" s="141">
        <v>1</v>
      </c>
      <c r="BF19" s="141">
        <v>1</v>
      </c>
      <c r="BG19" s="141">
        <v>1</v>
      </c>
      <c r="BH19" s="141">
        <v>1</v>
      </c>
      <c r="BI19" s="141">
        <v>1</v>
      </c>
      <c r="BJ19" s="141">
        <v>1</v>
      </c>
      <c r="BK19" s="141">
        <v>1</v>
      </c>
      <c r="BL19" s="141">
        <v>1</v>
      </c>
      <c r="BM19" s="141">
        <v>1</v>
      </c>
      <c r="BN19" s="141">
        <v>1</v>
      </c>
      <c r="BP19" s="66">
        <f t="shared" si="9"/>
        <v>1</v>
      </c>
      <c r="BQ19" s="66">
        <f t="shared" si="10"/>
        <v>12</v>
      </c>
      <c r="BR19" s="66">
        <f t="shared" si="11"/>
        <v>1</v>
      </c>
      <c r="BS19" s="66">
        <v>0</v>
      </c>
      <c r="BU19" s="66">
        <f t="shared" si="12"/>
        <v>1</v>
      </c>
      <c r="BV19" s="66">
        <f t="shared" si="13"/>
        <v>1</v>
      </c>
      <c r="BW19" s="66">
        <f t="shared" si="14"/>
        <v>1</v>
      </c>
    </row>
    <row r="20" spans="1:75" ht="75" x14ac:dyDescent="0.25">
      <c r="A20" s="174">
        <f t="shared" si="7"/>
        <v>17</v>
      </c>
      <c r="B20" s="66">
        <f>IF(LEN(D20)&gt;0,VLOOKUP(D20,'1. Lists'!$E$3:$J$52,6,FALSE),"")</f>
        <v>18</v>
      </c>
      <c r="C20" s="66" t="str">
        <f>IF(LEN(D20)&gt;0,VLOOKUP(D20,'1. Lists'!$E$3:$F$52,2,FALSE),"")</f>
        <v>Financial Services</v>
      </c>
      <c r="D20" s="120" t="s">
        <v>376</v>
      </c>
      <c r="E20" s="121"/>
      <c r="F20" s="65" t="str">
        <f>IF(E20&gt;0,VLOOKUP(E20,'2. Top Layer'!$A:$C,3,FALSE),"")</f>
        <v/>
      </c>
      <c r="G20" s="65" t="str">
        <f>IF(E20&gt;0,VLOOKUP(E20,'2. Top Layer'!$A:$T,17,FALSE),"")</f>
        <v/>
      </c>
      <c r="H20" s="66">
        <f>IF(LEN(I20)&gt;0,VLOOKUP(I20,'1. Lists'!$T:$U,2,FALSE),"")</f>
        <v>70</v>
      </c>
      <c r="I20" s="122" t="s">
        <v>658</v>
      </c>
      <c r="J20" s="123"/>
      <c r="K20" s="66">
        <f>IF(LEN(L20)&gt;0,VLOOKUP(L20,'1. Lists'!$AK:$AL,2,FALSE),"")</f>
        <v>9</v>
      </c>
      <c r="L20" s="124" t="s">
        <v>159</v>
      </c>
      <c r="M20" s="70">
        <f>IF(LEN(N20)&gt;0,VLOOKUP(N20,'1. Lists'!$AN:$AQ,4,FALSE),"")</f>
        <v>2</v>
      </c>
      <c r="N20" s="125" t="s">
        <v>382</v>
      </c>
      <c r="O20" s="66">
        <f>IF(LEN(P20)&gt;0,VLOOKUP(P20,'1. Lists'!$AA:$AC,3,FALSE),"")</f>
        <v>4</v>
      </c>
      <c r="P20" s="126" t="s">
        <v>41</v>
      </c>
      <c r="Q20" s="73">
        <f>IF(LEN(R20)&gt;0,VLOOKUP(R20,'1. Lists'!$W:$Y,3,FALSE),"")</f>
        <v>1</v>
      </c>
      <c r="R20" s="127" t="s">
        <v>169</v>
      </c>
      <c r="S20" s="73">
        <f>IF(LEN(T20)&gt;0,VLOOKUP(T20,'1. Lists'!$AH:$AI,2,FALSE),"")</f>
        <v>18</v>
      </c>
      <c r="T20" s="128" t="s">
        <v>403</v>
      </c>
      <c r="U20" s="76">
        <f>IF(LEN(V20)&gt;0,VLOOKUP(V20,'1. Lists'!$AE:$AF,2,FALSE),"")</f>
        <v>11</v>
      </c>
      <c r="V20" s="129" t="s">
        <v>355</v>
      </c>
      <c r="W20" s="130"/>
      <c r="X20" s="131" t="str">
        <f>IF(W20&gt;0,VLOOKUP($W20,'3. Capital'!$A:$J,4,FALSE),"")</f>
        <v/>
      </c>
      <c r="Y20" s="78" t="str">
        <f>IF(W20&gt;0,VLOOKUP($W20,'3. Capital'!$A:$J,10,FALSE),"")</f>
        <v/>
      </c>
      <c r="Z20" s="132" t="s">
        <v>465</v>
      </c>
      <c r="AA20" s="132" t="s">
        <v>466</v>
      </c>
      <c r="AB20" s="66">
        <f>IF(LEN(AC20)&gt;0,VLOOKUP(AC20,'1. Lists'!$AV$3:$AX$7,3,FALSE),"")</f>
        <v>3</v>
      </c>
      <c r="AC20" s="133" t="s">
        <v>4</v>
      </c>
      <c r="AD20" s="66">
        <f>IF(LEN(AE20)&gt;0,VLOOKUP(AE20,'1. Lists'!$AZ$3:$BB$7,3,FALSE),"")</f>
        <v>2</v>
      </c>
      <c r="AE20" s="122" t="s">
        <v>9</v>
      </c>
      <c r="AF20" s="123"/>
      <c r="AG20" s="123"/>
      <c r="AH20" s="66">
        <f>IF(LEN(AI20)&gt;0,VLOOKUP(AI20,'1. Lists'!$BD$3:$BF$15,3,FALSE),"")</f>
        <v>5</v>
      </c>
      <c r="AI20" s="127" t="s">
        <v>340</v>
      </c>
      <c r="AJ20" s="134" t="s">
        <v>68</v>
      </c>
      <c r="AK20" s="135" t="s">
        <v>461</v>
      </c>
      <c r="AL20" s="125" t="s">
        <v>425</v>
      </c>
      <c r="AM20" s="145">
        <v>1</v>
      </c>
      <c r="AN20" s="123"/>
      <c r="AO20" s="137" t="s">
        <v>622</v>
      </c>
      <c r="AP20" s="137" t="s">
        <v>623</v>
      </c>
      <c r="AQ20" s="123"/>
      <c r="AR20" s="123"/>
      <c r="AS20" s="123"/>
      <c r="AT20" s="123"/>
      <c r="AU20" s="135" t="s">
        <v>460</v>
      </c>
      <c r="AV20" s="80" t="str">
        <f>IF(LEN(AW20)&gt;0,VLOOKUP(AW20,'1. Lists'!$BQ:$BR,2,FALSE),"")</f>
        <v>STD</v>
      </c>
      <c r="AW20" s="133" t="s">
        <v>78</v>
      </c>
      <c r="AX20" s="80">
        <f>IF(LEN(AY20)&gt;0,VLOOKUP(AY20,'1. Lists'!$BU$3:$BW$5,3,FALSE),"")</f>
        <v>2</v>
      </c>
      <c r="AY20" s="138" t="s">
        <v>82</v>
      </c>
      <c r="AZ20" s="139">
        <v>100</v>
      </c>
      <c r="BA20" s="82">
        <f t="shared" si="8"/>
        <v>100</v>
      </c>
      <c r="BC20" s="141">
        <v>100</v>
      </c>
      <c r="BD20" s="141">
        <v>100</v>
      </c>
      <c r="BE20" s="141">
        <v>100</v>
      </c>
      <c r="BF20" s="141">
        <v>100</v>
      </c>
      <c r="BG20" s="141">
        <v>100</v>
      </c>
      <c r="BH20" s="141">
        <v>100</v>
      </c>
      <c r="BI20" s="141">
        <v>100</v>
      </c>
      <c r="BJ20" s="141">
        <v>100</v>
      </c>
      <c r="BK20" s="141">
        <v>100</v>
      </c>
      <c r="BL20" s="141">
        <v>100</v>
      </c>
      <c r="BM20" s="141">
        <v>100</v>
      </c>
      <c r="BN20" s="141">
        <v>100</v>
      </c>
      <c r="BP20" s="66">
        <f t="shared" si="9"/>
        <v>100</v>
      </c>
      <c r="BQ20" s="66">
        <f t="shared" si="10"/>
        <v>1200</v>
      </c>
      <c r="BR20" s="66">
        <f t="shared" si="11"/>
        <v>100</v>
      </c>
      <c r="BS20" s="66">
        <v>0</v>
      </c>
      <c r="BU20" s="66">
        <f t="shared" si="12"/>
        <v>100</v>
      </c>
      <c r="BV20" s="66">
        <f t="shared" si="13"/>
        <v>100</v>
      </c>
      <c r="BW20" s="66">
        <f t="shared" si="14"/>
        <v>100</v>
      </c>
    </row>
    <row r="21" spans="1:75" ht="75" x14ac:dyDescent="0.25">
      <c r="A21" s="174">
        <f t="shared" si="7"/>
        <v>18</v>
      </c>
      <c r="B21" s="66">
        <f>IF(LEN(D21)&gt;0,VLOOKUP(D21,'1. Lists'!$E$3:$J$52,6,FALSE),"")</f>
        <v>18</v>
      </c>
      <c r="C21" s="66" t="str">
        <f>IF(LEN(D21)&gt;0,VLOOKUP(D21,'1. Lists'!$E$3:$F$52,2,FALSE),"")</f>
        <v>Financial Services</v>
      </c>
      <c r="D21" s="120" t="s">
        <v>376</v>
      </c>
      <c r="E21" s="121"/>
      <c r="F21" s="65" t="str">
        <f>IF(E21&gt;0,VLOOKUP(E21,'2. Top Layer'!$A:$C,3,FALSE),"")</f>
        <v/>
      </c>
      <c r="G21" s="65" t="str">
        <f>IF(E21&gt;0,VLOOKUP(E21,'2. Top Layer'!$A:$T,17,FALSE),"")</f>
        <v/>
      </c>
      <c r="H21" s="66">
        <f>IF(LEN(I21)&gt;0,VLOOKUP(I21,'1. Lists'!$T:$U,2,FALSE),"")</f>
        <v>64</v>
      </c>
      <c r="I21" s="122" t="s">
        <v>435</v>
      </c>
      <c r="J21" s="123"/>
      <c r="K21" s="66">
        <f>IF(LEN(L21)&gt;0,VLOOKUP(L21,'1. Lists'!$AK:$AL,2,FALSE),"")</f>
        <v>9</v>
      </c>
      <c r="L21" s="124" t="s">
        <v>159</v>
      </c>
      <c r="M21" s="70">
        <f>IF(LEN(N21)&gt;0,VLOOKUP(N21,'1. Lists'!$AN:$AQ,4,FALSE),"")</f>
        <v>2</v>
      </c>
      <c r="N21" s="125" t="s">
        <v>382</v>
      </c>
      <c r="O21" s="66">
        <f>IF(LEN(P21)&gt;0,VLOOKUP(P21,'1. Lists'!$AA:$AC,3,FALSE),"")</f>
        <v>5</v>
      </c>
      <c r="P21" s="134" t="s">
        <v>42</v>
      </c>
      <c r="Q21" s="73">
        <f>IF(LEN(R21)&gt;0,VLOOKUP(R21,'1. Lists'!$W:$Y,3,FALSE),"")</f>
        <v>1</v>
      </c>
      <c r="R21" s="127" t="s">
        <v>169</v>
      </c>
      <c r="S21" s="73">
        <f>IF(LEN(T21)&gt;0,VLOOKUP(T21,'1. Lists'!$AH:$AI,2,FALSE),"")</f>
        <v>11</v>
      </c>
      <c r="T21" s="128" t="s">
        <v>396</v>
      </c>
      <c r="U21" s="76">
        <f>IF(LEN(V21)&gt;0,VLOOKUP(V21,'1. Lists'!$AE:$AF,2,FALSE),"")</f>
        <v>11</v>
      </c>
      <c r="V21" s="129" t="s">
        <v>355</v>
      </c>
      <c r="W21" s="130"/>
      <c r="X21" s="131" t="str">
        <f>IF(W21&gt;0,VLOOKUP($W21,#REF!,4,FALSE),"")</f>
        <v/>
      </c>
      <c r="Y21" s="78" t="str">
        <f>IF(W21&gt;0,VLOOKUP($W21,#REF!,10,FALSE),"")</f>
        <v/>
      </c>
      <c r="Z21" s="132" t="s">
        <v>791</v>
      </c>
      <c r="AA21" s="132" t="s">
        <v>468</v>
      </c>
      <c r="AB21" s="66">
        <f>IF(LEN(AC21)&gt;0,VLOOKUP(AC21,'1. Lists'!$AV$3:$AX$7,3,FALSE),"")</f>
        <v>2</v>
      </c>
      <c r="AC21" s="133" t="s">
        <v>13</v>
      </c>
      <c r="AD21" s="66">
        <f>IF(LEN(AE21)&gt;0,VLOOKUP(AE21,'1. Lists'!$AZ$3:$BB$7,3,FALSE),"")</f>
        <v>2</v>
      </c>
      <c r="AE21" s="122" t="s">
        <v>9</v>
      </c>
      <c r="AF21" s="123"/>
      <c r="AG21" s="123"/>
      <c r="AH21" s="66">
        <f>IF(LEN(AI21)&gt;0,VLOOKUP(AI21,'1. Lists'!$BD$3:$BF$15,3,FALSE),"")</f>
        <v>5</v>
      </c>
      <c r="AI21" s="127" t="s">
        <v>340</v>
      </c>
      <c r="AJ21" s="134" t="s">
        <v>68</v>
      </c>
      <c r="AK21" s="135" t="s">
        <v>461</v>
      </c>
      <c r="AL21" s="125" t="s">
        <v>425</v>
      </c>
      <c r="AM21" s="136">
        <v>10</v>
      </c>
      <c r="AN21" s="123"/>
      <c r="AO21" s="136" t="s">
        <v>601</v>
      </c>
      <c r="AP21" s="137" t="s">
        <v>790</v>
      </c>
      <c r="AQ21" s="123"/>
      <c r="AR21" s="123"/>
      <c r="AS21" s="123"/>
      <c r="AT21" s="123"/>
      <c r="AU21" s="135" t="s">
        <v>460</v>
      </c>
      <c r="AV21" s="80" t="str">
        <f>IF(LEN(AW21)&gt;0,VLOOKUP(AW21,'1. Lists'!$BQ:$BR,2,FALSE),"")</f>
        <v>ACC</v>
      </c>
      <c r="AW21" s="120" t="s">
        <v>14</v>
      </c>
      <c r="AX21" s="80">
        <f>IF(LEN(AY21)&gt;0,VLOOKUP(AY21,'1. Lists'!$BU$3:$BW$5,3,FALSE),"")</f>
        <v>3</v>
      </c>
      <c r="AY21" s="138" t="s">
        <v>83</v>
      </c>
      <c r="AZ21" s="139">
        <v>12</v>
      </c>
      <c r="BA21" s="82">
        <f t="shared" si="8"/>
        <v>12</v>
      </c>
      <c r="BC21" s="141">
        <v>1</v>
      </c>
      <c r="BD21" s="141">
        <v>1</v>
      </c>
      <c r="BE21" s="141">
        <v>1</v>
      </c>
      <c r="BF21" s="141">
        <v>1</v>
      </c>
      <c r="BG21" s="141">
        <v>1</v>
      </c>
      <c r="BH21" s="141">
        <v>1</v>
      </c>
      <c r="BI21" s="141">
        <v>1</v>
      </c>
      <c r="BJ21" s="141">
        <v>1</v>
      </c>
      <c r="BK21" s="141">
        <v>1</v>
      </c>
      <c r="BL21" s="141">
        <v>1</v>
      </c>
      <c r="BM21" s="141">
        <v>1</v>
      </c>
      <c r="BN21" s="141">
        <v>1</v>
      </c>
      <c r="BP21" s="66">
        <f t="shared" si="9"/>
        <v>1</v>
      </c>
      <c r="BQ21" s="66">
        <f t="shared" si="10"/>
        <v>12</v>
      </c>
      <c r="BR21" s="66">
        <f t="shared" si="11"/>
        <v>1</v>
      </c>
      <c r="BS21" s="66">
        <v>0</v>
      </c>
      <c r="BU21" s="66">
        <f t="shared" si="12"/>
        <v>1</v>
      </c>
      <c r="BV21" s="66">
        <f t="shared" si="13"/>
        <v>1</v>
      </c>
      <c r="BW21" s="66">
        <f t="shared" si="14"/>
        <v>1</v>
      </c>
    </row>
    <row r="22" spans="1:75" ht="75" x14ac:dyDescent="0.25">
      <c r="A22" s="174">
        <f t="shared" si="7"/>
        <v>19</v>
      </c>
      <c r="B22" s="66">
        <f>IF(LEN(D22)&gt;0,VLOOKUP(D22,'1. Lists'!$E$3:$J$52,6,FALSE),"")</f>
        <v>18</v>
      </c>
      <c r="C22" s="66" t="str">
        <f>IF(LEN(D22)&gt;0,VLOOKUP(D22,'1. Lists'!$E$3:$F$52,2,FALSE),"")</f>
        <v>Financial Services</v>
      </c>
      <c r="D22" s="120" t="s">
        <v>376</v>
      </c>
      <c r="E22" s="121"/>
      <c r="F22" s="65"/>
      <c r="H22" s="66">
        <f>IF(LEN(I22)&gt;0,VLOOKUP(I22,'1. Lists'!$T:$U,2,FALSE),"")</f>
        <v>67</v>
      </c>
      <c r="I22" s="122" t="s">
        <v>437</v>
      </c>
      <c r="J22" s="123"/>
      <c r="K22" s="66">
        <f>IF(LEN(L22)&gt;0,VLOOKUP(L22,'1. Lists'!$AK:$AL,2,FALSE),"")</f>
        <v>9</v>
      </c>
      <c r="L22" s="124" t="s">
        <v>159</v>
      </c>
      <c r="M22" s="70">
        <f>IF(LEN(N22)&gt;0,VLOOKUP(N22,'1. Lists'!$AN:$AQ,4,FALSE),"")</f>
        <v>2</v>
      </c>
      <c r="N22" s="125" t="s">
        <v>382</v>
      </c>
      <c r="O22" s="66">
        <f>IF(LEN(P22)&gt;0,VLOOKUP(P22,'1. Lists'!$AA:$AC,3,FALSE),"")</f>
        <v>4</v>
      </c>
      <c r="P22" s="134" t="s">
        <v>41</v>
      </c>
      <c r="Q22" s="73">
        <f>IF(LEN(R22)&gt;0,VLOOKUP(R22,'1. Lists'!$W:$Y,3,FALSE),"")</f>
        <v>1</v>
      </c>
      <c r="R22" s="127" t="s">
        <v>169</v>
      </c>
      <c r="S22" s="73">
        <f>IF(LEN(T22)&gt;0,VLOOKUP(T22,'1. Lists'!$AH:$AI,2,FALSE),"")</f>
        <v>11</v>
      </c>
      <c r="T22" s="128" t="s">
        <v>396</v>
      </c>
      <c r="U22" s="76">
        <f>IF(LEN(V22)&gt;0,VLOOKUP(V22,'1. Lists'!$AE:$AF,2,FALSE),"")</f>
        <v>11</v>
      </c>
      <c r="V22" s="129" t="s">
        <v>355</v>
      </c>
      <c r="W22" s="130"/>
      <c r="X22" s="131"/>
      <c r="Z22" s="132" t="s">
        <v>792</v>
      </c>
      <c r="AA22" s="132" t="s">
        <v>739</v>
      </c>
      <c r="AB22" s="66">
        <f>IF(LEN(AC22)&gt;0,VLOOKUP(AC22,'1. Lists'!$AV$3:$AX$7,3,FALSE),"")</f>
        <v>2</v>
      </c>
      <c r="AC22" s="133" t="s">
        <v>13</v>
      </c>
      <c r="AD22" s="66">
        <f>IF(LEN(AE22)&gt;0,VLOOKUP(AE22,'1. Lists'!$AZ$3:$BB$7,3,FALSE),"")</f>
        <v>2</v>
      </c>
      <c r="AE22" s="122" t="s">
        <v>9</v>
      </c>
      <c r="AF22" s="123"/>
      <c r="AG22" s="123"/>
      <c r="AH22" s="66">
        <f>IF(LEN(AI22)&gt;0,VLOOKUP(AI22,'1. Lists'!$BD$3:$BF$15,3,FALSE),"")</f>
        <v>5</v>
      </c>
      <c r="AI22" s="127" t="s">
        <v>340</v>
      </c>
      <c r="AJ22" s="134" t="s">
        <v>68</v>
      </c>
      <c r="AK22" s="135" t="s">
        <v>461</v>
      </c>
      <c r="AL22" s="125" t="s">
        <v>425</v>
      </c>
      <c r="AM22" s="145" t="s">
        <v>762</v>
      </c>
      <c r="AN22" s="123"/>
      <c r="AO22" s="136" t="s">
        <v>565</v>
      </c>
      <c r="AP22" s="137" t="s">
        <v>790</v>
      </c>
      <c r="AQ22" s="123"/>
      <c r="AR22" s="123"/>
      <c r="AS22" s="123"/>
      <c r="AT22" s="123"/>
      <c r="AU22" s="135" t="s">
        <v>460</v>
      </c>
      <c r="AV22" s="80" t="str">
        <f>IF(LEN(AW22)&gt;0,VLOOKUP(AW22,'1. Lists'!$BQ:$BR,2,FALSE),"")</f>
        <v>ACC</v>
      </c>
      <c r="AW22" s="120" t="s">
        <v>14</v>
      </c>
      <c r="AX22" s="80">
        <f>IF(LEN(AY22)&gt;0,VLOOKUP(AY22,'1. Lists'!$BU$3:$BW$5,3,FALSE),"")</f>
        <v>3</v>
      </c>
      <c r="AY22" s="138" t="s">
        <v>83</v>
      </c>
      <c r="AZ22" s="139">
        <v>4</v>
      </c>
      <c r="BA22" s="82">
        <f t="shared" si="8"/>
        <v>4</v>
      </c>
      <c r="BC22" s="141">
        <v>0</v>
      </c>
      <c r="BD22" s="141">
        <v>0</v>
      </c>
      <c r="BE22" s="141">
        <v>1</v>
      </c>
      <c r="BF22" s="141">
        <v>0</v>
      </c>
      <c r="BG22" s="141">
        <v>0</v>
      </c>
      <c r="BH22" s="141">
        <v>1</v>
      </c>
      <c r="BI22" s="141">
        <v>0</v>
      </c>
      <c r="BJ22" s="141">
        <v>0</v>
      </c>
      <c r="BK22" s="141">
        <v>1</v>
      </c>
      <c r="BL22" s="141">
        <v>0</v>
      </c>
      <c r="BM22" s="141">
        <v>0</v>
      </c>
      <c r="BN22" s="141">
        <v>1</v>
      </c>
      <c r="BP22" s="66">
        <f t="shared" si="9"/>
        <v>1</v>
      </c>
      <c r="BQ22" s="66">
        <f t="shared" si="10"/>
        <v>4</v>
      </c>
      <c r="BR22" s="66">
        <f t="shared" si="11"/>
        <v>1</v>
      </c>
      <c r="BU22" s="66">
        <f t="shared" si="12"/>
        <v>1</v>
      </c>
      <c r="BV22" s="66">
        <f t="shared" si="13"/>
        <v>1</v>
      </c>
      <c r="BW22" s="66">
        <f t="shared" si="14"/>
        <v>1</v>
      </c>
    </row>
    <row r="23" spans="1:75" ht="75" x14ac:dyDescent="0.25">
      <c r="A23" s="174">
        <f t="shared" si="7"/>
        <v>20</v>
      </c>
      <c r="B23" s="66">
        <f>IF(LEN(D23)&gt;0,VLOOKUP(D23,'1. Lists'!$E$3:$J$52,6,FALSE),"")</f>
        <v>18</v>
      </c>
      <c r="C23" s="66" t="str">
        <f>IF(LEN(D23)&gt;0,VLOOKUP(D23,'1. Lists'!$E$3:$F$52,2,FALSE),"")</f>
        <v>Financial Services</v>
      </c>
      <c r="D23" s="120" t="s">
        <v>376</v>
      </c>
      <c r="E23" s="121"/>
      <c r="F23" s="65"/>
      <c r="H23" s="66">
        <f>IF(LEN(I23)&gt;0,VLOOKUP(I23,'1. Lists'!$T:$U,2,FALSE),"")</f>
        <v>67</v>
      </c>
      <c r="I23" s="122" t="s">
        <v>437</v>
      </c>
      <c r="J23" s="123"/>
      <c r="K23" s="66">
        <f>IF(LEN(L23)&gt;0,VLOOKUP(L23,'1. Lists'!$AK:$AL,2,FALSE),"")</f>
        <v>9</v>
      </c>
      <c r="L23" s="124" t="s">
        <v>159</v>
      </c>
      <c r="M23" s="70">
        <f>IF(LEN(N23)&gt;0,VLOOKUP(N23,'1. Lists'!$AN:$AQ,4,FALSE),"")</f>
        <v>2</v>
      </c>
      <c r="N23" s="125" t="s">
        <v>382</v>
      </c>
      <c r="O23" s="66">
        <f>IF(LEN(P23)&gt;0,VLOOKUP(P23,'1. Lists'!$AA:$AC,3,FALSE),"")</f>
        <v>4</v>
      </c>
      <c r="P23" s="134" t="s">
        <v>41</v>
      </c>
      <c r="Q23" s="73">
        <f>IF(LEN(R23)&gt;0,VLOOKUP(R23,'1. Lists'!$W:$Y,3,FALSE),"")</f>
        <v>1</v>
      </c>
      <c r="R23" s="127" t="s">
        <v>169</v>
      </c>
      <c r="S23" s="73">
        <f>IF(LEN(T23)&gt;0,VLOOKUP(T23,'1. Lists'!$AH:$AI,2,FALSE),"")</f>
        <v>11</v>
      </c>
      <c r="T23" s="128" t="s">
        <v>396</v>
      </c>
      <c r="U23" s="76">
        <f>IF(LEN(V23)&gt;0,VLOOKUP(V23,'1. Lists'!$AE:$AF,2,FALSE),"")</f>
        <v>11</v>
      </c>
      <c r="V23" s="129" t="s">
        <v>355</v>
      </c>
      <c r="W23" s="130"/>
      <c r="X23" s="131"/>
      <c r="Z23" s="132" t="s">
        <v>793</v>
      </c>
      <c r="AA23" s="132" t="s">
        <v>794</v>
      </c>
      <c r="AB23" s="66">
        <f>IF(LEN(AC23)&gt;0,VLOOKUP(AC23,'1. Lists'!$AV$3:$AX$7,3,FALSE),"")</f>
        <v>2</v>
      </c>
      <c r="AC23" s="133" t="s">
        <v>13</v>
      </c>
      <c r="AD23" s="66">
        <f>IF(LEN(AE23)&gt;0,VLOOKUP(AE23,'1. Lists'!$AZ$3:$BB$7,3,FALSE),"")</f>
        <v>2</v>
      </c>
      <c r="AE23" s="122" t="s">
        <v>9</v>
      </c>
      <c r="AF23" s="123"/>
      <c r="AG23" s="123"/>
      <c r="AH23" s="66">
        <f>IF(LEN(AI23)&gt;0,VLOOKUP(AI23,'1. Lists'!$BD$3:$BF$15,3,FALSE),"")</f>
        <v>5</v>
      </c>
      <c r="AI23" s="127" t="s">
        <v>340</v>
      </c>
      <c r="AJ23" s="134" t="s">
        <v>68</v>
      </c>
      <c r="AK23" s="135" t="s">
        <v>461</v>
      </c>
      <c r="AL23" s="125" t="s">
        <v>425</v>
      </c>
      <c r="AM23" s="145" t="s">
        <v>762</v>
      </c>
      <c r="AN23" s="123"/>
      <c r="AO23" s="136" t="s">
        <v>795</v>
      </c>
      <c r="AP23" s="137" t="s">
        <v>790</v>
      </c>
      <c r="AQ23" s="123"/>
      <c r="AR23" s="123"/>
      <c r="AS23" s="123"/>
      <c r="AT23" s="123"/>
      <c r="AU23" s="135" t="s">
        <v>460</v>
      </c>
      <c r="AV23" s="80" t="str">
        <f>IF(LEN(AW23)&gt;0,VLOOKUP(AW23,'1. Lists'!$BQ:$BR,2,FALSE),"")</f>
        <v>ACC</v>
      </c>
      <c r="AW23" s="120" t="s">
        <v>14</v>
      </c>
      <c r="AX23" s="80">
        <f>IF(LEN(AY23)&gt;0,VLOOKUP(AY23,'1. Lists'!$BU$3:$BW$5,3,FALSE),"")</f>
        <v>3</v>
      </c>
      <c r="AY23" s="138" t="s">
        <v>83</v>
      </c>
      <c r="AZ23" s="139">
        <v>12</v>
      </c>
      <c r="BA23" s="82">
        <f t="shared" si="8"/>
        <v>12</v>
      </c>
      <c r="BC23" s="141">
        <v>1</v>
      </c>
      <c r="BD23" s="141">
        <v>1</v>
      </c>
      <c r="BE23" s="141">
        <v>1</v>
      </c>
      <c r="BF23" s="141">
        <v>1</v>
      </c>
      <c r="BG23" s="141">
        <v>1</v>
      </c>
      <c r="BH23" s="141">
        <v>1</v>
      </c>
      <c r="BI23" s="141">
        <v>1</v>
      </c>
      <c r="BJ23" s="141">
        <v>1</v>
      </c>
      <c r="BK23" s="141">
        <v>1</v>
      </c>
      <c r="BL23" s="141">
        <v>1</v>
      </c>
      <c r="BM23" s="141">
        <v>1</v>
      </c>
      <c r="BN23" s="141">
        <v>1</v>
      </c>
      <c r="BP23" s="66">
        <f t="shared" si="9"/>
        <v>1</v>
      </c>
      <c r="BQ23" s="66">
        <f t="shared" si="10"/>
        <v>12</v>
      </c>
      <c r="BR23" s="66">
        <f t="shared" si="11"/>
        <v>1</v>
      </c>
      <c r="BU23" s="66">
        <f t="shared" si="12"/>
        <v>1</v>
      </c>
      <c r="BV23" s="66">
        <f t="shared" si="13"/>
        <v>1</v>
      </c>
      <c r="BW23" s="66">
        <f t="shared" si="14"/>
        <v>1</v>
      </c>
    </row>
    <row r="24" spans="1:75" ht="75" x14ac:dyDescent="0.25">
      <c r="A24" s="174">
        <f t="shared" si="7"/>
        <v>21</v>
      </c>
      <c r="B24" s="66">
        <f>IF(LEN(D24)&gt;0,VLOOKUP(D24,'1. Lists'!$E$3:$J$52,6,FALSE),"")</f>
        <v>18</v>
      </c>
      <c r="C24" s="66" t="str">
        <f>IF(LEN(D24)&gt;0,VLOOKUP(D24,'1. Lists'!$E$3:$F$52,2,FALSE),"")</f>
        <v>Financial Services</v>
      </c>
      <c r="D24" s="120" t="s">
        <v>376</v>
      </c>
      <c r="E24" s="121"/>
      <c r="F24" s="65"/>
      <c r="H24" s="66">
        <f>IF(LEN(I24)&gt;0,VLOOKUP(I24,'1. Lists'!$T:$U,2,FALSE),"")</f>
        <v>67</v>
      </c>
      <c r="I24" s="122" t="s">
        <v>437</v>
      </c>
      <c r="J24" s="123"/>
      <c r="K24" s="66">
        <f>IF(LEN(L24)&gt;0,VLOOKUP(L24,'1. Lists'!$AK:$AL,2,FALSE),"")</f>
        <v>9</v>
      </c>
      <c r="L24" s="124" t="s">
        <v>159</v>
      </c>
      <c r="M24" s="70">
        <f>IF(LEN(N24)&gt;0,VLOOKUP(N24,'1. Lists'!$AN:$AQ,4,FALSE),"")</f>
        <v>2</v>
      </c>
      <c r="N24" s="125" t="s">
        <v>382</v>
      </c>
      <c r="O24" s="66">
        <f>IF(LEN(P24)&gt;0,VLOOKUP(P24,'1. Lists'!$AA:$AC,3,FALSE),"")</f>
        <v>4</v>
      </c>
      <c r="P24" s="134" t="s">
        <v>41</v>
      </c>
      <c r="Q24" s="73">
        <f>IF(LEN(R24)&gt;0,VLOOKUP(R24,'1. Lists'!$W:$Y,3,FALSE),"")</f>
        <v>1</v>
      </c>
      <c r="R24" s="127" t="s">
        <v>169</v>
      </c>
      <c r="S24" s="73">
        <f>IF(LEN(T24)&gt;0,VLOOKUP(T24,'1. Lists'!$AH:$AI,2,FALSE),"")</f>
        <v>11</v>
      </c>
      <c r="T24" s="128" t="s">
        <v>396</v>
      </c>
      <c r="U24" s="76">
        <f>IF(LEN(V24)&gt;0,VLOOKUP(V24,'1. Lists'!$AE:$AF,2,FALSE),"")</f>
        <v>11</v>
      </c>
      <c r="V24" s="129" t="s">
        <v>355</v>
      </c>
      <c r="W24" s="130"/>
      <c r="X24" s="131"/>
      <c r="Z24" s="132" t="s">
        <v>796</v>
      </c>
      <c r="AA24" s="132" t="s">
        <v>797</v>
      </c>
      <c r="AB24" s="66">
        <f>IF(LEN(AC24)&gt;0,VLOOKUP(AC24,'1. Lists'!$AV$3:$AX$7,3,FALSE),"")</f>
        <v>3</v>
      </c>
      <c r="AC24" s="133" t="s">
        <v>4</v>
      </c>
      <c r="AD24" s="66">
        <f>IF(LEN(AE24)&gt;0,VLOOKUP(AE24,'1. Lists'!$AZ$3:$BB$7,3,FALSE),"")</f>
        <v>2</v>
      </c>
      <c r="AE24" s="122" t="s">
        <v>9</v>
      </c>
      <c r="AF24" s="123"/>
      <c r="AG24" s="123"/>
      <c r="AH24" s="66">
        <f>IF(LEN(AI24)&gt;0,VLOOKUP(AI24,'1. Lists'!$BD$3:$BF$15,3,FALSE),"")</f>
        <v>5</v>
      </c>
      <c r="AI24" s="127" t="s">
        <v>340</v>
      </c>
      <c r="AJ24" s="134" t="s">
        <v>68</v>
      </c>
      <c r="AK24" s="135" t="s">
        <v>461</v>
      </c>
      <c r="AL24" s="125" t="s">
        <v>425</v>
      </c>
      <c r="AM24" s="145" t="s">
        <v>762</v>
      </c>
      <c r="AN24" s="123"/>
      <c r="AO24" s="145">
        <v>0.85</v>
      </c>
      <c r="AP24" s="137" t="s">
        <v>798</v>
      </c>
      <c r="AQ24" s="123"/>
      <c r="AR24" s="123"/>
      <c r="AS24" s="123"/>
      <c r="AT24" s="123"/>
      <c r="AU24" s="135" t="s">
        <v>460</v>
      </c>
      <c r="AV24" s="80" t="str">
        <f>IF(LEN(AW24)&gt;0,VLOOKUP(AW24,'1. Lists'!$BQ:$BR,2,FALSE),"")</f>
        <v>LAST</v>
      </c>
      <c r="AW24" s="120" t="s">
        <v>190</v>
      </c>
      <c r="AX24" s="80">
        <f>IF(LEN(AY24)&gt;0,VLOOKUP(AY24,'1. Lists'!$BU$3:$BW$5,3,FALSE),"")</f>
        <v>2</v>
      </c>
      <c r="AY24" s="138" t="s">
        <v>82</v>
      </c>
      <c r="AZ24" s="139">
        <v>85</v>
      </c>
      <c r="BA24" s="82">
        <f t="shared" si="8"/>
        <v>85</v>
      </c>
      <c r="BC24" s="141">
        <v>0</v>
      </c>
      <c r="BD24" s="141">
        <v>0</v>
      </c>
      <c r="BE24" s="141">
        <v>0</v>
      </c>
      <c r="BF24" s="141">
        <v>0</v>
      </c>
      <c r="BG24" s="141">
        <v>0</v>
      </c>
      <c r="BH24" s="141">
        <v>0</v>
      </c>
      <c r="BI24" s="141">
        <v>0</v>
      </c>
      <c r="BJ24" s="141">
        <v>0</v>
      </c>
      <c r="BK24" s="141">
        <v>0</v>
      </c>
      <c r="BL24" s="141">
        <v>0</v>
      </c>
      <c r="BM24" s="141">
        <v>0</v>
      </c>
      <c r="BN24" s="141">
        <v>85</v>
      </c>
      <c r="BP24" s="66">
        <f t="shared" si="9"/>
        <v>85</v>
      </c>
      <c r="BQ24" s="66">
        <f t="shared" si="10"/>
        <v>85</v>
      </c>
      <c r="BR24" s="66">
        <f t="shared" si="11"/>
        <v>85</v>
      </c>
      <c r="BU24" s="66">
        <f t="shared" si="12"/>
        <v>85</v>
      </c>
      <c r="BV24" s="66">
        <f t="shared" si="13"/>
        <v>85</v>
      </c>
      <c r="BW24" s="66">
        <f t="shared" si="14"/>
        <v>85</v>
      </c>
    </row>
    <row r="25" spans="1:75" ht="60" x14ac:dyDescent="0.25">
      <c r="A25" s="174">
        <f t="shared" si="7"/>
        <v>22</v>
      </c>
      <c r="B25" s="66">
        <f>IF(LEN(D25)&gt;0,VLOOKUP(D25,'1. Lists'!$E$3:$J$52,6,FALSE),"")</f>
        <v>19</v>
      </c>
      <c r="C25" s="66" t="str">
        <f>IF(LEN(D25)&gt;0,VLOOKUP(D25,'1. Lists'!$E$3:$F$52,2,FALSE),"")</f>
        <v>Financial Services</v>
      </c>
      <c r="D25" s="120" t="s">
        <v>377</v>
      </c>
      <c r="E25" s="121"/>
      <c r="F25" s="65" t="str">
        <f>IF(E25&gt;0,VLOOKUP(E25,'2. Top Layer'!$A:$C,3,FALSE),"")</f>
        <v/>
      </c>
      <c r="G25" s="65" t="str">
        <f>IF(E25&gt;0,VLOOKUP(E25,'2. Top Layer'!$A:$T,17,FALSE),"")</f>
        <v/>
      </c>
      <c r="H25" s="66">
        <f>IF(LEN(I25)&gt;0,VLOOKUP(I25,'1. Lists'!$T:$U,2,FALSE),"")</f>
        <v>67</v>
      </c>
      <c r="I25" s="122" t="s">
        <v>437</v>
      </c>
      <c r="J25" s="123"/>
      <c r="K25" s="66">
        <f>IF(LEN(L25)&gt;0,VLOOKUP(L25,'1. Lists'!$AK:$AL,2,FALSE),"")</f>
        <v>9</v>
      </c>
      <c r="L25" s="124" t="s">
        <v>159</v>
      </c>
      <c r="M25" s="70">
        <f>IF(LEN(N25)&gt;0,VLOOKUP(N25,'1. Lists'!$AN:$AQ,4,FALSE),"")</f>
        <v>2</v>
      </c>
      <c r="N25" s="125" t="s">
        <v>382</v>
      </c>
      <c r="O25" s="66">
        <f>IF(LEN(P25)&gt;0,VLOOKUP(P25,'1. Lists'!$AA:$AC,3,FALSE),"")</f>
        <v>4</v>
      </c>
      <c r="P25" s="126" t="s">
        <v>41</v>
      </c>
      <c r="Q25" s="73">
        <f>IF(LEN(R25)&gt;0,VLOOKUP(R25,'1. Lists'!$W:$Y,3,FALSE),"")</f>
        <v>1</v>
      </c>
      <c r="R25" s="127" t="s">
        <v>169</v>
      </c>
      <c r="S25" s="73">
        <f>IF(LEN(T25)&gt;0,VLOOKUP(T25,'1. Lists'!$AH:$AI,2,FALSE),"")</f>
        <v>11</v>
      </c>
      <c r="T25" s="128" t="s">
        <v>396</v>
      </c>
      <c r="U25" s="76">
        <f>IF(LEN(V25)&gt;0,VLOOKUP(V25,'1. Lists'!$AE:$AF,2,FALSE),"")</f>
        <v>11</v>
      </c>
      <c r="V25" s="129" t="s">
        <v>355</v>
      </c>
      <c r="W25" s="130"/>
      <c r="X25" s="131" t="str">
        <f>IF(W25&gt;0,VLOOKUP($W25,'3. Capital'!$A:$J,4,FALSE),"")</f>
        <v/>
      </c>
      <c r="Y25" s="78" t="str">
        <f>IF(W25&gt;0,VLOOKUP($W25,'3. Capital'!$A:$J,10,FALSE),"")</f>
        <v/>
      </c>
      <c r="Z25" s="132" t="s">
        <v>515</v>
      </c>
      <c r="AA25" s="132" t="s">
        <v>516</v>
      </c>
      <c r="AB25" s="66">
        <f>IF(LEN(AC25)&gt;0,VLOOKUP(AC25,'1. Lists'!$AV$3:$AX$7,3,FALSE),"")</f>
        <v>2</v>
      </c>
      <c r="AC25" s="133" t="s">
        <v>13</v>
      </c>
      <c r="AD25" s="66">
        <f>IF(LEN(AE25)&gt;0,VLOOKUP(AE25,'1. Lists'!$AZ$3:$BB$7,3,FALSE),"")</f>
        <v>2</v>
      </c>
      <c r="AE25" s="122" t="s">
        <v>9</v>
      </c>
      <c r="AF25" s="123"/>
      <c r="AG25" s="123"/>
      <c r="AH25" s="66">
        <f>IF(LEN(AI25)&gt;0,VLOOKUP(AI25,'1. Lists'!$BD$3:$BF$15,3,FALSE),"")</f>
        <v>4</v>
      </c>
      <c r="AI25" s="127" t="s">
        <v>339</v>
      </c>
      <c r="AJ25" s="134" t="s">
        <v>68</v>
      </c>
      <c r="AK25" s="135" t="s">
        <v>461</v>
      </c>
      <c r="AL25" s="125" t="s">
        <v>374</v>
      </c>
      <c r="AM25" s="136">
        <v>12</v>
      </c>
      <c r="AN25" s="123"/>
      <c r="AO25" s="137" t="s">
        <v>620</v>
      </c>
      <c r="AP25" s="137" t="s">
        <v>621</v>
      </c>
      <c r="AQ25" s="123"/>
      <c r="AR25" s="123"/>
      <c r="AS25" s="123"/>
      <c r="AT25" s="123"/>
      <c r="AU25" s="135" t="s">
        <v>460</v>
      </c>
      <c r="AV25" s="80" t="str">
        <f>IF(LEN(AW25)&gt;0,VLOOKUP(AW25,'1. Lists'!$BQ:$BR,2,FALSE),"")</f>
        <v>ACC</v>
      </c>
      <c r="AW25" s="133" t="s">
        <v>14</v>
      </c>
      <c r="AX25" s="80">
        <f>IF(LEN(AY25)&gt;0,VLOOKUP(AY25,'1. Lists'!$BU$3:$BW$5,3,FALSE),"")</f>
        <v>3</v>
      </c>
      <c r="AY25" s="138" t="s">
        <v>83</v>
      </c>
      <c r="AZ25" s="139">
        <v>12</v>
      </c>
      <c r="BA25" s="82">
        <f t="shared" si="8"/>
        <v>12</v>
      </c>
      <c r="BC25" s="141">
        <v>1</v>
      </c>
      <c r="BD25" s="141">
        <v>1</v>
      </c>
      <c r="BE25" s="141">
        <v>1</v>
      </c>
      <c r="BF25" s="141">
        <v>1</v>
      </c>
      <c r="BG25" s="141">
        <v>1</v>
      </c>
      <c r="BH25" s="141">
        <v>1</v>
      </c>
      <c r="BI25" s="141">
        <v>1</v>
      </c>
      <c r="BJ25" s="141">
        <v>1</v>
      </c>
      <c r="BK25" s="141">
        <v>1</v>
      </c>
      <c r="BL25" s="141">
        <v>1</v>
      </c>
      <c r="BM25" s="141">
        <v>1</v>
      </c>
      <c r="BN25" s="141">
        <v>1</v>
      </c>
      <c r="BP25" s="66">
        <f t="shared" si="9"/>
        <v>1</v>
      </c>
      <c r="BQ25" s="66">
        <f t="shared" si="10"/>
        <v>12</v>
      </c>
      <c r="BR25" s="66">
        <f t="shared" si="11"/>
        <v>1</v>
      </c>
      <c r="BS25" s="66">
        <v>0</v>
      </c>
      <c r="BU25" s="66">
        <f t="shared" si="12"/>
        <v>1</v>
      </c>
      <c r="BV25" s="66">
        <f t="shared" si="13"/>
        <v>1</v>
      </c>
      <c r="BW25" s="66">
        <f t="shared" si="14"/>
        <v>1</v>
      </c>
    </row>
    <row r="26" spans="1:75" ht="75" x14ac:dyDescent="0.25">
      <c r="A26" s="174">
        <f t="shared" si="7"/>
        <v>23</v>
      </c>
      <c r="B26" s="66">
        <f>IF(LEN(D26)&gt;0,VLOOKUP(D26,'1. Lists'!$E$3:$J$52,6,FALSE),"")</f>
        <v>19</v>
      </c>
      <c r="C26" s="66" t="str">
        <f>IF(LEN(D26)&gt;0,VLOOKUP(D26,'1. Lists'!$E$3:$F$52,2,FALSE),"")</f>
        <v>Financial Services</v>
      </c>
      <c r="D26" s="120" t="s">
        <v>377</v>
      </c>
      <c r="E26" s="121"/>
      <c r="F26" s="65" t="str">
        <f>IF(E26&gt;0,VLOOKUP(E26,'2. Top Layer'!$A:$C,3,FALSE),"")</f>
        <v/>
      </c>
      <c r="G26" s="65" t="str">
        <f>IF(E26&gt;0,VLOOKUP(E26,'2. Top Layer'!$A:$T,17,FALSE),"")</f>
        <v/>
      </c>
      <c r="H26" s="66">
        <f>IF(LEN(I26)&gt;0,VLOOKUP(I26,'1. Lists'!$T:$U,2,FALSE),"")</f>
        <v>67</v>
      </c>
      <c r="I26" s="122" t="s">
        <v>437</v>
      </c>
      <c r="J26" s="123"/>
      <c r="K26" s="66">
        <f>IF(LEN(L26)&gt;0,VLOOKUP(L26,'1. Lists'!$AK:$AL,2,FALSE),"")</f>
        <v>9</v>
      </c>
      <c r="L26" s="124" t="s">
        <v>159</v>
      </c>
      <c r="M26" s="70">
        <f>IF(LEN(N26)&gt;0,VLOOKUP(N26,'1. Lists'!$AN:$AQ,4,FALSE),"")</f>
        <v>2</v>
      </c>
      <c r="N26" s="125" t="s">
        <v>382</v>
      </c>
      <c r="O26" s="66">
        <f>IF(LEN(P26)&gt;0,VLOOKUP(P26,'1. Lists'!$AA:$AC,3,FALSE),"")</f>
        <v>4</v>
      </c>
      <c r="P26" s="126" t="s">
        <v>41</v>
      </c>
      <c r="Q26" s="73">
        <f>IF(LEN(R26)&gt;0,VLOOKUP(R26,'1. Lists'!$W:$Y,3,FALSE),"")</f>
        <v>1</v>
      </c>
      <c r="R26" s="127" t="s">
        <v>169</v>
      </c>
      <c r="S26" s="73">
        <f>IF(LEN(T26)&gt;0,VLOOKUP(T26,'1. Lists'!$AH:$AI,2,FALSE),"")</f>
        <v>18</v>
      </c>
      <c r="T26" s="128" t="s">
        <v>403</v>
      </c>
      <c r="U26" s="76">
        <f>IF(LEN(V26)&gt;0,VLOOKUP(V26,'1. Lists'!$AE:$AF,2,FALSE),"")</f>
        <v>11</v>
      </c>
      <c r="V26" s="129" t="s">
        <v>355</v>
      </c>
      <c r="W26" s="130"/>
      <c r="X26" s="131" t="str">
        <f>IF(W26&gt;0,VLOOKUP($W26,'3. Capital'!$A:$J,4,FALSE),"")</f>
        <v/>
      </c>
      <c r="Y26" s="78" t="str">
        <f>IF(W26&gt;0,VLOOKUP($W26,'3. Capital'!$A:$J,10,FALSE),"")</f>
        <v/>
      </c>
      <c r="Z26" s="132" t="s">
        <v>684</v>
      </c>
      <c r="AA26" s="132" t="s">
        <v>685</v>
      </c>
      <c r="AB26" s="66">
        <f>IF(LEN(AC26)&gt;0,VLOOKUP(AC26,'1. Lists'!$AV$3:$AX$7,3,FALSE),"")</f>
        <v>2</v>
      </c>
      <c r="AC26" s="133" t="s">
        <v>13</v>
      </c>
      <c r="AD26" s="66">
        <f>IF(LEN(AE26)&gt;0,VLOOKUP(AE26,'1. Lists'!$AZ$3:$BB$7,3,FALSE),"")</f>
        <v>2</v>
      </c>
      <c r="AE26" s="122" t="s">
        <v>9</v>
      </c>
      <c r="AF26" s="123"/>
      <c r="AG26" s="123"/>
      <c r="AH26" s="66">
        <f>IF(LEN(AI26)&gt;0,VLOOKUP(AI26,'1. Lists'!$BD$3:$BF$15,3,FALSE),"")</f>
        <v>4</v>
      </c>
      <c r="AI26" s="127" t="s">
        <v>339</v>
      </c>
      <c r="AJ26" s="134" t="s">
        <v>68</v>
      </c>
      <c r="AK26" s="135" t="s">
        <v>461</v>
      </c>
      <c r="AL26" s="125" t="s">
        <v>419</v>
      </c>
      <c r="AM26" s="145">
        <v>1</v>
      </c>
      <c r="AN26" s="123"/>
      <c r="AO26" s="137" t="s">
        <v>622</v>
      </c>
      <c r="AP26" s="137" t="s">
        <v>624</v>
      </c>
      <c r="AQ26" s="123"/>
      <c r="AR26" s="123"/>
      <c r="AS26" s="123"/>
      <c r="AT26" s="123"/>
      <c r="AU26" s="135" t="s">
        <v>460</v>
      </c>
      <c r="AV26" s="80" t="str">
        <f>IF(LEN(AW26)&gt;0,VLOOKUP(AW26,'1. Lists'!$BQ:$BR,2,FALSE),"")</f>
        <v>STD</v>
      </c>
      <c r="AW26" s="133" t="s">
        <v>78</v>
      </c>
      <c r="AX26" s="80">
        <f>IF(LEN(AY26)&gt;0,VLOOKUP(AY26,'1. Lists'!$BU$3:$BW$5,3,FALSE),"")</f>
        <v>2</v>
      </c>
      <c r="AY26" s="138" t="s">
        <v>82</v>
      </c>
      <c r="AZ26" s="139">
        <v>100</v>
      </c>
      <c r="BA26" s="82">
        <f t="shared" si="8"/>
        <v>100</v>
      </c>
      <c r="BC26" s="141">
        <v>100</v>
      </c>
      <c r="BD26" s="141">
        <v>100</v>
      </c>
      <c r="BE26" s="141">
        <v>100</v>
      </c>
      <c r="BF26" s="141">
        <v>100</v>
      </c>
      <c r="BG26" s="141">
        <v>100</v>
      </c>
      <c r="BH26" s="141">
        <v>100</v>
      </c>
      <c r="BI26" s="141">
        <v>100</v>
      </c>
      <c r="BJ26" s="141">
        <v>100</v>
      </c>
      <c r="BK26" s="141">
        <v>100</v>
      </c>
      <c r="BL26" s="141">
        <v>100</v>
      </c>
      <c r="BM26" s="141">
        <v>100</v>
      </c>
      <c r="BN26" s="141">
        <v>100</v>
      </c>
      <c r="BP26" s="66">
        <f t="shared" si="9"/>
        <v>100</v>
      </c>
      <c r="BQ26" s="66">
        <f t="shared" si="10"/>
        <v>1200</v>
      </c>
      <c r="BR26" s="66">
        <f t="shared" si="11"/>
        <v>100</v>
      </c>
      <c r="BS26" s="66">
        <v>0</v>
      </c>
      <c r="BU26" s="66">
        <f t="shared" si="12"/>
        <v>100</v>
      </c>
      <c r="BV26" s="66">
        <f t="shared" si="13"/>
        <v>100</v>
      </c>
      <c r="BW26" s="66">
        <f t="shared" si="14"/>
        <v>100</v>
      </c>
    </row>
    <row r="27" spans="1:75" ht="75" x14ac:dyDescent="0.25">
      <c r="A27" s="174">
        <f t="shared" si="7"/>
        <v>24</v>
      </c>
      <c r="B27" s="66">
        <f>IF(LEN(D27)&gt;0,VLOOKUP(D27,'1. Lists'!$E$3:$J$52,6,FALSE),"")</f>
        <v>19</v>
      </c>
      <c r="C27" s="66" t="str">
        <f>IF(LEN(D27)&gt;0,VLOOKUP(D27,'1. Lists'!$E$3:$F$52,2,FALSE),"")</f>
        <v>Financial Services</v>
      </c>
      <c r="D27" s="120" t="s">
        <v>377</v>
      </c>
      <c r="E27" s="121"/>
      <c r="F27" s="65" t="str">
        <f>IF(E27&gt;0,VLOOKUP(E27,'2. Top Layer'!$A:$C,3,FALSE),"")</f>
        <v/>
      </c>
      <c r="G27" s="65" t="str">
        <f>IF(E27&gt;0,VLOOKUP(E27,'2. Top Layer'!$A:$T,17,FALSE),"")</f>
        <v/>
      </c>
      <c r="H27" s="66">
        <f>IF(LEN(I27)&gt;0,VLOOKUP(I27,'1. Lists'!$T:$U,2,FALSE),"")</f>
        <v>67</v>
      </c>
      <c r="I27" s="122" t="s">
        <v>437</v>
      </c>
      <c r="J27" s="123"/>
      <c r="K27" s="66">
        <f>IF(LEN(L27)&gt;0,VLOOKUP(L27,'1. Lists'!$AK:$AL,2,FALSE),"")</f>
        <v>9</v>
      </c>
      <c r="L27" s="124" t="s">
        <v>159</v>
      </c>
      <c r="M27" s="70">
        <f>IF(LEN(N27)&gt;0,VLOOKUP(N27,'1. Lists'!$AN:$AQ,4,FALSE),"")</f>
        <v>2</v>
      </c>
      <c r="N27" s="125" t="s">
        <v>382</v>
      </c>
      <c r="O27" s="66">
        <f>IF(LEN(P27)&gt;0,VLOOKUP(P27,'1. Lists'!$AA:$AC,3,FALSE),"")</f>
        <v>4</v>
      </c>
      <c r="P27" s="126" t="s">
        <v>41</v>
      </c>
      <c r="Q27" s="73">
        <f>IF(LEN(R27)&gt;0,VLOOKUP(R27,'1. Lists'!$W:$Y,3,FALSE),"")</f>
        <v>1</v>
      </c>
      <c r="R27" s="127" t="s">
        <v>169</v>
      </c>
      <c r="S27" s="73">
        <f>IF(LEN(T27)&gt;0,VLOOKUP(T27,'1. Lists'!$AH:$AI,2,FALSE),"")</f>
        <v>18</v>
      </c>
      <c r="T27" s="128" t="s">
        <v>403</v>
      </c>
      <c r="U27" s="76">
        <f>IF(LEN(V27)&gt;0,VLOOKUP(V27,'1. Lists'!$AE:$AF,2,FALSE),"")</f>
        <v>11</v>
      </c>
      <c r="V27" s="129" t="s">
        <v>355</v>
      </c>
      <c r="W27" s="130"/>
      <c r="X27" s="131" t="str">
        <f>IF(W27&gt;0,VLOOKUP($W27,'3. Capital'!$A:$J,4,FALSE),"")</f>
        <v/>
      </c>
      <c r="Y27" s="78" t="str">
        <f>IF(W27&gt;0,VLOOKUP($W27,'3. Capital'!$A:$J,10,FALSE),"")</f>
        <v/>
      </c>
      <c r="Z27" s="132" t="s">
        <v>833</v>
      </c>
      <c r="AA27" s="132" t="s">
        <v>517</v>
      </c>
      <c r="AB27" s="66">
        <f>IF(LEN(AC27)&gt;0,VLOOKUP(AC27,'1. Lists'!$AV$3:$AX$7,3,FALSE),"")</f>
        <v>2</v>
      </c>
      <c r="AC27" s="133" t="s">
        <v>13</v>
      </c>
      <c r="AD27" s="66">
        <f>IF(LEN(AE27)&gt;0,VLOOKUP(AE27,'1. Lists'!$AZ$3:$BB$7,3,FALSE),"")</f>
        <v>2</v>
      </c>
      <c r="AE27" s="122" t="s">
        <v>9</v>
      </c>
      <c r="AF27" s="123"/>
      <c r="AG27" s="123"/>
      <c r="AH27" s="66">
        <f>IF(LEN(AI27)&gt;0,VLOOKUP(AI27,'1. Lists'!$BD$3:$BF$15,3,FALSE),"")</f>
        <v>4</v>
      </c>
      <c r="AI27" s="127" t="s">
        <v>339</v>
      </c>
      <c r="AJ27" s="134" t="s">
        <v>68</v>
      </c>
      <c r="AK27" s="135" t="s">
        <v>461</v>
      </c>
      <c r="AL27" s="125" t="s">
        <v>419</v>
      </c>
      <c r="AM27" s="136">
        <v>12</v>
      </c>
      <c r="AN27" s="123"/>
      <c r="AO27" s="137" t="s">
        <v>601</v>
      </c>
      <c r="AP27" s="137" t="s">
        <v>834</v>
      </c>
      <c r="AQ27" s="123"/>
      <c r="AR27" s="123"/>
      <c r="AS27" s="123"/>
      <c r="AT27" s="123"/>
      <c r="AU27" s="135" t="s">
        <v>460</v>
      </c>
      <c r="AV27" s="80" t="str">
        <f>IF(LEN(AW27)&gt;0,VLOOKUP(AW27,'1. Lists'!$BQ:$BR,2,FALSE),"")</f>
        <v>ACC</v>
      </c>
      <c r="AW27" s="133" t="s">
        <v>14</v>
      </c>
      <c r="AX27" s="80">
        <f>IF(LEN(AY27)&gt;0,VLOOKUP(AY27,'1. Lists'!$BU$3:$BW$5,3,FALSE),"")</f>
        <v>3</v>
      </c>
      <c r="AY27" s="138" t="s">
        <v>83</v>
      </c>
      <c r="AZ27" s="139">
        <v>12</v>
      </c>
      <c r="BA27" s="82">
        <f t="shared" si="8"/>
        <v>12</v>
      </c>
      <c r="BC27" s="141">
        <v>1</v>
      </c>
      <c r="BD27" s="141">
        <v>1</v>
      </c>
      <c r="BE27" s="141">
        <v>1</v>
      </c>
      <c r="BF27" s="141">
        <v>1</v>
      </c>
      <c r="BG27" s="141">
        <v>1</v>
      </c>
      <c r="BH27" s="141">
        <v>1</v>
      </c>
      <c r="BI27" s="141">
        <v>1</v>
      </c>
      <c r="BJ27" s="141">
        <v>1</v>
      </c>
      <c r="BK27" s="141">
        <v>1</v>
      </c>
      <c r="BL27" s="141">
        <v>1</v>
      </c>
      <c r="BM27" s="141">
        <v>1</v>
      </c>
      <c r="BN27" s="141">
        <v>1</v>
      </c>
      <c r="BP27" s="66">
        <f t="shared" si="9"/>
        <v>1</v>
      </c>
      <c r="BQ27" s="66">
        <f t="shared" si="10"/>
        <v>12</v>
      </c>
      <c r="BR27" s="66">
        <f t="shared" si="11"/>
        <v>1</v>
      </c>
      <c r="BS27" s="66">
        <v>0</v>
      </c>
      <c r="BU27" s="66">
        <f t="shared" si="12"/>
        <v>1</v>
      </c>
      <c r="BV27" s="66">
        <f t="shared" si="13"/>
        <v>1</v>
      </c>
      <c r="BW27" s="66">
        <f t="shared" si="14"/>
        <v>1</v>
      </c>
    </row>
    <row r="28" spans="1:75" ht="75" x14ac:dyDescent="0.25">
      <c r="A28" s="174">
        <f t="shared" si="7"/>
        <v>25</v>
      </c>
      <c r="B28" s="66">
        <f>IF(LEN(D28)&gt;0,VLOOKUP(D28,'1. Lists'!$E$3:$J$52,6,FALSE),"")</f>
        <v>19</v>
      </c>
      <c r="C28" s="66" t="str">
        <f>IF(LEN(D28)&gt;0,VLOOKUP(D28,'1. Lists'!$E$3:$F$52,2,FALSE),"")</f>
        <v>Financial Services</v>
      </c>
      <c r="D28" s="120" t="s">
        <v>377</v>
      </c>
      <c r="E28" s="121"/>
      <c r="F28" s="65" t="str">
        <f>IF(E28&gt;0,VLOOKUP(E28,'2. Top Layer'!$A:$C,3,FALSE),"")</f>
        <v/>
      </c>
      <c r="G28" s="65" t="str">
        <f>IF(E28&gt;0,VLOOKUP(E28,'2. Top Layer'!$A:$T,17,FALSE),"")</f>
        <v/>
      </c>
      <c r="H28" s="66">
        <f>IF(LEN(I28)&gt;0,VLOOKUP(I28,'1. Lists'!$T:$U,2,FALSE),"")</f>
        <v>67</v>
      </c>
      <c r="I28" s="122" t="s">
        <v>437</v>
      </c>
      <c r="J28" s="123"/>
      <c r="K28" s="66">
        <f>IF(LEN(L28)&gt;0,VLOOKUP(L28,'1. Lists'!$AK:$AL,2,FALSE),"")</f>
        <v>9</v>
      </c>
      <c r="L28" s="124" t="s">
        <v>159</v>
      </c>
      <c r="M28" s="70">
        <f>IF(LEN(N28)&gt;0,VLOOKUP(N28,'1. Lists'!$AN:$AQ,4,FALSE),"")</f>
        <v>2</v>
      </c>
      <c r="N28" s="125" t="s">
        <v>382</v>
      </c>
      <c r="O28" s="66">
        <f>IF(LEN(P28)&gt;0,VLOOKUP(P28,'1. Lists'!$AA:$AC,3,FALSE),"")</f>
        <v>4</v>
      </c>
      <c r="P28" s="126" t="s">
        <v>41</v>
      </c>
      <c r="Q28" s="73">
        <f>IF(LEN(R28)&gt;0,VLOOKUP(R28,'1. Lists'!$W:$Y,3,FALSE),"")</f>
        <v>1</v>
      </c>
      <c r="R28" s="127" t="s">
        <v>169</v>
      </c>
      <c r="S28" s="73">
        <f>IF(LEN(T28)&gt;0,VLOOKUP(T28,'1. Lists'!$AH:$AI,2,FALSE),"")</f>
        <v>18</v>
      </c>
      <c r="T28" s="128" t="s">
        <v>403</v>
      </c>
      <c r="U28" s="76">
        <f>IF(LEN(V28)&gt;0,VLOOKUP(V28,'1. Lists'!$AE:$AF,2,FALSE),"")</f>
        <v>11</v>
      </c>
      <c r="V28" s="129" t="s">
        <v>355</v>
      </c>
      <c r="W28" s="130"/>
      <c r="X28" s="131" t="str">
        <f>IF(W28&gt;0,VLOOKUP($W28,'3. Capital'!$A:$J,4,FALSE),"")</f>
        <v/>
      </c>
      <c r="Y28" s="78" t="str">
        <f>IF(W28&gt;0,VLOOKUP($W28,'3. Capital'!$A:$J,10,FALSE),"")</f>
        <v/>
      </c>
      <c r="Z28" s="132" t="s">
        <v>686</v>
      </c>
      <c r="AA28" s="132" t="s">
        <v>687</v>
      </c>
      <c r="AB28" s="66">
        <f>IF(LEN(AC28)&gt;0,VLOOKUP(AC28,'1. Lists'!$AV$3:$AX$7,3,FALSE),"")</f>
        <v>2</v>
      </c>
      <c r="AC28" s="133" t="s">
        <v>13</v>
      </c>
      <c r="AD28" s="66">
        <f>IF(LEN(AE28)&gt;0,VLOOKUP(AE28,'1. Lists'!$AZ$3:$BB$7,3,FALSE),"")</f>
        <v>2</v>
      </c>
      <c r="AE28" s="122" t="s">
        <v>9</v>
      </c>
      <c r="AF28" s="123"/>
      <c r="AG28" s="123"/>
      <c r="AH28" s="66">
        <f>IF(LEN(AI28)&gt;0,VLOOKUP(AI28,'1. Lists'!$BD$3:$BF$15,3,FALSE),"")</f>
        <v>4</v>
      </c>
      <c r="AI28" s="127" t="s">
        <v>339</v>
      </c>
      <c r="AJ28" s="134" t="s">
        <v>68</v>
      </c>
      <c r="AK28" s="135" t="s">
        <v>461</v>
      </c>
      <c r="AL28" s="125" t="s">
        <v>419</v>
      </c>
      <c r="AM28" s="136">
        <v>12</v>
      </c>
      <c r="AN28" s="123"/>
      <c r="AO28" s="137" t="s">
        <v>601</v>
      </c>
      <c r="AP28" s="137" t="s">
        <v>625</v>
      </c>
      <c r="AQ28" s="123"/>
      <c r="AR28" s="123"/>
      <c r="AS28" s="123"/>
      <c r="AT28" s="123"/>
      <c r="AU28" s="135" t="s">
        <v>460</v>
      </c>
      <c r="AV28" s="80" t="str">
        <f>IF(LEN(AW28)&gt;0,VLOOKUP(AW28,'1. Lists'!$BQ:$BR,2,FALSE),"")</f>
        <v>ACC</v>
      </c>
      <c r="AW28" s="133" t="s">
        <v>14</v>
      </c>
      <c r="AX28" s="80">
        <f>IF(LEN(AY28)&gt;0,VLOOKUP(AY28,'1. Lists'!$BU$3:$BW$5,3,FALSE),"")</f>
        <v>3</v>
      </c>
      <c r="AY28" s="138" t="s">
        <v>83</v>
      </c>
      <c r="AZ28" s="139">
        <v>12</v>
      </c>
      <c r="BA28" s="82">
        <f t="shared" si="8"/>
        <v>12</v>
      </c>
      <c r="BC28" s="141">
        <v>1</v>
      </c>
      <c r="BD28" s="141">
        <v>1</v>
      </c>
      <c r="BE28" s="141">
        <v>1</v>
      </c>
      <c r="BF28" s="141">
        <v>1</v>
      </c>
      <c r="BG28" s="141">
        <v>1</v>
      </c>
      <c r="BH28" s="141">
        <v>1</v>
      </c>
      <c r="BI28" s="141">
        <v>1</v>
      </c>
      <c r="BJ28" s="141">
        <v>1</v>
      </c>
      <c r="BK28" s="141">
        <v>1</v>
      </c>
      <c r="BL28" s="141">
        <v>1</v>
      </c>
      <c r="BM28" s="141">
        <v>1</v>
      </c>
      <c r="BN28" s="141">
        <v>1</v>
      </c>
      <c r="BP28" s="66">
        <f t="shared" si="9"/>
        <v>1</v>
      </c>
      <c r="BQ28" s="66">
        <f t="shared" si="10"/>
        <v>12</v>
      </c>
      <c r="BR28" s="66">
        <f t="shared" si="11"/>
        <v>1</v>
      </c>
      <c r="BS28" s="66">
        <v>0</v>
      </c>
      <c r="BU28" s="66">
        <f t="shared" si="12"/>
        <v>1</v>
      </c>
      <c r="BV28" s="66">
        <f t="shared" si="13"/>
        <v>1</v>
      </c>
      <c r="BW28" s="66">
        <f t="shared" si="14"/>
        <v>1</v>
      </c>
    </row>
    <row r="29" spans="1:75" ht="75" x14ac:dyDescent="0.25">
      <c r="A29" s="174">
        <f t="shared" si="7"/>
        <v>26</v>
      </c>
      <c r="B29" s="66">
        <f>IF(LEN(D29)&gt;0,VLOOKUP(D29,'1. Lists'!$E$3:$J$52,6,FALSE),"")</f>
        <v>19</v>
      </c>
      <c r="C29" s="66" t="str">
        <f>IF(LEN(D29)&gt;0,VLOOKUP(D29,'1. Lists'!$E$3:$F$52,2,FALSE),"")</f>
        <v>Financial Services</v>
      </c>
      <c r="D29" s="120" t="s">
        <v>377</v>
      </c>
      <c r="E29" s="121"/>
      <c r="F29" s="65" t="str">
        <f>IF(E29&gt;0,VLOOKUP(E29,'2. Top Layer'!$A:$C,3,FALSE),"")</f>
        <v/>
      </c>
      <c r="G29" s="65" t="str">
        <f>IF(E29&gt;0,VLOOKUP(E29,'2. Top Layer'!$A:$T,17,FALSE),"")</f>
        <v/>
      </c>
      <c r="H29" s="66">
        <f>IF(LEN(I29)&gt;0,VLOOKUP(I29,'1. Lists'!$T:$U,2,FALSE),"")</f>
        <v>67</v>
      </c>
      <c r="I29" s="122" t="s">
        <v>437</v>
      </c>
      <c r="J29" s="123"/>
      <c r="K29" s="66">
        <f>IF(LEN(L29)&gt;0,VLOOKUP(L29,'1. Lists'!$AK:$AL,2,FALSE),"")</f>
        <v>9</v>
      </c>
      <c r="L29" s="124" t="s">
        <v>159</v>
      </c>
      <c r="M29" s="70">
        <f>IF(LEN(N29)&gt;0,VLOOKUP(N29,'1. Lists'!$AN:$AQ,4,FALSE),"")</f>
        <v>2</v>
      </c>
      <c r="N29" s="125" t="s">
        <v>382</v>
      </c>
      <c r="O29" s="66">
        <f>IF(LEN(P29)&gt;0,VLOOKUP(P29,'1. Lists'!$AA:$AC,3,FALSE),"")</f>
        <v>4</v>
      </c>
      <c r="P29" s="126" t="s">
        <v>41</v>
      </c>
      <c r="Q29" s="73">
        <f>IF(LEN(R29)&gt;0,VLOOKUP(R29,'1. Lists'!$W:$Y,3,FALSE),"")</f>
        <v>1</v>
      </c>
      <c r="R29" s="127" t="s">
        <v>169</v>
      </c>
      <c r="S29" s="73">
        <f>IF(LEN(T29)&gt;0,VLOOKUP(T29,'1. Lists'!$AH:$AI,2,FALSE),"")</f>
        <v>18</v>
      </c>
      <c r="T29" s="128" t="s">
        <v>403</v>
      </c>
      <c r="U29" s="76">
        <f>IF(LEN(V29)&gt;0,VLOOKUP(V29,'1. Lists'!$AE:$AF,2,FALSE),"")</f>
        <v>11</v>
      </c>
      <c r="V29" s="129" t="s">
        <v>355</v>
      </c>
      <c r="W29" s="130"/>
      <c r="X29" s="131" t="str">
        <f>IF(W29&gt;0,VLOOKUP($W29,'3. Capital'!$A:$J,4,FALSE),"")</f>
        <v/>
      </c>
      <c r="Y29" s="78" t="str">
        <f>IF(W29&gt;0,VLOOKUP($W29,'3. Capital'!$A:$J,10,FALSE),"")</f>
        <v/>
      </c>
      <c r="Z29" s="132" t="s">
        <v>518</v>
      </c>
      <c r="AA29" s="132" t="s">
        <v>519</v>
      </c>
      <c r="AB29" s="66">
        <f>IF(LEN(AC29)&gt;0,VLOOKUP(AC29,'1. Lists'!$AV$3:$AX$7,3,FALSE),"")</f>
        <v>2</v>
      </c>
      <c r="AC29" s="133" t="s">
        <v>13</v>
      </c>
      <c r="AD29" s="66">
        <f>IF(LEN(AE29)&gt;0,VLOOKUP(AE29,'1. Lists'!$AZ$3:$BB$7,3,FALSE),"")</f>
        <v>2</v>
      </c>
      <c r="AE29" s="122" t="s">
        <v>9</v>
      </c>
      <c r="AF29" s="123"/>
      <c r="AG29" s="123"/>
      <c r="AH29" s="66">
        <f>IF(LEN(AI29)&gt;0,VLOOKUP(AI29,'1. Lists'!$BD$3:$BF$15,3,FALSE),"")</f>
        <v>4</v>
      </c>
      <c r="AI29" s="127" t="s">
        <v>339</v>
      </c>
      <c r="AJ29" s="134" t="s">
        <v>68</v>
      </c>
      <c r="AK29" s="135" t="s">
        <v>461</v>
      </c>
      <c r="AL29" s="125" t="s">
        <v>419</v>
      </c>
      <c r="AM29" s="136">
        <v>12</v>
      </c>
      <c r="AN29" s="123"/>
      <c r="AO29" s="137" t="s">
        <v>601</v>
      </c>
      <c r="AP29" s="137" t="s">
        <v>835</v>
      </c>
      <c r="AQ29" s="123"/>
      <c r="AR29" s="123"/>
      <c r="AS29" s="123"/>
      <c r="AT29" s="123"/>
      <c r="AU29" s="135" t="s">
        <v>460</v>
      </c>
      <c r="AV29" s="80" t="str">
        <f>IF(LEN(AW29)&gt;0,VLOOKUP(AW29,'1. Lists'!$BQ:$BR,2,FALSE),"")</f>
        <v>ACC</v>
      </c>
      <c r="AW29" s="133" t="s">
        <v>14</v>
      </c>
      <c r="AX29" s="80">
        <f>IF(LEN(AY29)&gt;0,VLOOKUP(AY29,'1. Lists'!$BU$3:$BW$5,3,FALSE),"")</f>
        <v>3</v>
      </c>
      <c r="AY29" s="138" t="s">
        <v>83</v>
      </c>
      <c r="AZ29" s="139">
        <v>12</v>
      </c>
      <c r="BA29" s="82">
        <f t="shared" si="8"/>
        <v>12</v>
      </c>
      <c r="BC29" s="141">
        <v>1</v>
      </c>
      <c r="BD29" s="141">
        <v>1</v>
      </c>
      <c r="BE29" s="141">
        <v>1</v>
      </c>
      <c r="BF29" s="141">
        <v>1</v>
      </c>
      <c r="BG29" s="141">
        <v>1</v>
      </c>
      <c r="BH29" s="141">
        <v>1</v>
      </c>
      <c r="BI29" s="141">
        <v>1</v>
      </c>
      <c r="BJ29" s="141">
        <v>1</v>
      </c>
      <c r="BK29" s="141">
        <v>1</v>
      </c>
      <c r="BL29" s="141">
        <v>1</v>
      </c>
      <c r="BM29" s="141">
        <v>1</v>
      </c>
      <c r="BN29" s="141">
        <v>1</v>
      </c>
      <c r="BP29" s="66">
        <f t="shared" si="9"/>
        <v>1</v>
      </c>
      <c r="BQ29" s="66">
        <f t="shared" si="10"/>
        <v>12</v>
      </c>
      <c r="BR29" s="66">
        <f t="shared" si="11"/>
        <v>1</v>
      </c>
      <c r="BS29" s="66">
        <v>0</v>
      </c>
      <c r="BU29" s="66">
        <f t="shared" si="12"/>
        <v>1</v>
      </c>
      <c r="BV29" s="66">
        <f t="shared" si="13"/>
        <v>1</v>
      </c>
      <c r="BW29" s="66">
        <f t="shared" si="14"/>
        <v>1</v>
      </c>
    </row>
    <row r="30" spans="1:75" ht="75" x14ac:dyDescent="0.25">
      <c r="A30" s="174">
        <f t="shared" si="7"/>
        <v>27</v>
      </c>
      <c r="B30" s="66">
        <f>IF(LEN(D30)&gt;0,VLOOKUP(D30,'1. Lists'!$E$3:$J$52,6,FALSE),"")</f>
        <v>19</v>
      </c>
      <c r="C30" s="66" t="str">
        <f>IF(LEN(D30)&gt;0,VLOOKUP(D30,'1. Lists'!$E$3:$F$52,2,FALSE),"")</f>
        <v>Financial Services</v>
      </c>
      <c r="D30" s="120" t="s">
        <v>377</v>
      </c>
      <c r="E30" s="121"/>
      <c r="F30" s="65" t="str">
        <f>IF(E30&gt;0,VLOOKUP(E30,'2. Top Layer'!$A:$C,3,FALSE),"")</f>
        <v/>
      </c>
      <c r="G30" s="65" t="str">
        <f>IF(E30&gt;0,VLOOKUP(E30,'2. Top Layer'!$A:$T,17,FALSE),"")</f>
        <v/>
      </c>
      <c r="H30" s="66">
        <f>IF(LEN(I30)&gt;0,VLOOKUP(I30,'1. Lists'!$T:$U,2,FALSE),"")</f>
        <v>67</v>
      </c>
      <c r="I30" s="122" t="s">
        <v>437</v>
      </c>
      <c r="J30" s="123"/>
      <c r="K30" s="66">
        <f>IF(LEN(L30)&gt;0,VLOOKUP(L30,'1. Lists'!$AK:$AL,2,FALSE),"")</f>
        <v>9</v>
      </c>
      <c r="L30" s="124" t="s">
        <v>159</v>
      </c>
      <c r="M30" s="70">
        <f>IF(LEN(N30)&gt;0,VLOOKUP(N30,'1. Lists'!$AN:$AQ,4,FALSE),"")</f>
        <v>2</v>
      </c>
      <c r="N30" s="125" t="s">
        <v>382</v>
      </c>
      <c r="O30" s="66">
        <f>IF(LEN(P30)&gt;0,VLOOKUP(P30,'1. Lists'!$AA:$AC,3,FALSE),"")</f>
        <v>4</v>
      </c>
      <c r="P30" s="126" t="s">
        <v>41</v>
      </c>
      <c r="Q30" s="73">
        <f>IF(LEN(R30)&gt;0,VLOOKUP(R30,'1. Lists'!$W:$Y,3,FALSE),"")</f>
        <v>1</v>
      </c>
      <c r="R30" s="127" t="s">
        <v>169</v>
      </c>
      <c r="S30" s="73">
        <f>IF(LEN(T30)&gt;0,VLOOKUP(T30,'1. Lists'!$AH:$AI,2,FALSE),"")</f>
        <v>18</v>
      </c>
      <c r="T30" s="128" t="s">
        <v>403</v>
      </c>
      <c r="U30" s="76">
        <f>IF(LEN(V30)&gt;0,VLOOKUP(V30,'1. Lists'!$AE:$AF,2,FALSE),"")</f>
        <v>11</v>
      </c>
      <c r="V30" s="129" t="s">
        <v>355</v>
      </c>
      <c r="W30" s="130"/>
      <c r="X30" s="131" t="str">
        <f>IF(W30&gt;0,VLOOKUP($W30,'3. Capital'!$A:$J,4,FALSE),"")</f>
        <v/>
      </c>
      <c r="Y30" s="78" t="str">
        <f>IF(W30&gt;0,VLOOKUP($W30,'3. Capital'!$A:$J,10,FALSE),"")</f>
        <v/>
      </c>
      <c r="Z30" s="132" t="s">
        <v>465</v>
      </c>
      <c r="AA30" s="132" t="s">
        <v>466</v>
      </c>
      <c r="AB30" s="66">
        <f>IF(LEN(AC30)&gt;0,VLOOKUP(AC30,'1. Lists'!$AV$3:$AX$7,3,FALSE),"")</f>
        <v>3</v>
      </c>
      <c r="AC30" s="133" t="s">
        <v>4</v>
      </c>
      <c r="AD30" s="66">
        <f>IF(LEN(AE30)&gt;0,VLOOKUP(AE30,'1. Lists'!$AZ$3:$BB$7,3,FALSE),"")</f>
        <v>2</v>
      </c>
      <c r="AE30" s="122" t="s">
        <v>9</v>
      </c>
      <c r="AF30" s="123"/>
      <c r="AG30" s="123"/>
      <c r="AH30" s="66">
        <f>IF(LEN(AI30)&gt;0,VLOOKUP(AI30,'1. Lists'!$BD$3:$BF$15,3,FALSE),"")</f>
        <v>5</v>
      </c>
      <c r="AI30" s="127" t="s">
        <v>340</v>
      </c>
      <c r="AJ30" s="134" t="s">
        <v>68</v>
      </c>
      <c r="AK30" s="135" t="s">
        <v>461</v>
      </c>
      <c r="AL30" s="125" t="s">
        <v>419</v>
      </c>
      <c r="AM30" s="145">
        <v>1</v>
      </c>
      <c r="AN30" s="123"/>
      <c r="AO30" s="137" t="s">
        <v>622</v>
      </c>
      <c r="AP30" s="137" t="s">
        <v>623</v>
      </c>
      <c r="AQ30" s="123"/>
      <c r="AR30" s="123"/>
      <c r="AS30" s="123"/>
      <c r="AT30" s="123"/>
      <c r="AU30" s="135" t="s">
        <v>460</v>
      </c>
      <c r="AV30" s="80" t="str">
        <f>IF(LEN(AW30)&gt;0,VLOOKUP(AW30,'1. Lists'!$BQ:$BR,2,FALSE),"")</f>
        <v>STD</v>
      </c>
      <c r="AW30" s="133" t="s">
        <v>78</v>
      </c>
      <c r="AX30" s="80">
        <f>IF(LEN(AY30)&gt;0,VLOOKUP(AY30,'1. Lists'!$BU$3:$BW$5,3,FALSE),"")</f>
        <v>2</v>
      </c>
      <c r="AY30" s="138" t="s">
        <v>82</v>
      </c>
      <c r="AZ30" s="139">
        <v>100</v>
      </c>
      <c r="BA30" s="82">
        <f t="shared" si="8"/>
        <v>100</v>
      </c>
      <c r="BC30" s="141">
        <v>100</v>
      </c>
      <c r="BD30" s="141">
        <v>100</v>
      </c>
      <c r="BE30" s="141">
        <v>100</v>
      </c>
      <c r="BF30" s="141">
        <v>100</v>
      </c>
      <c r="BG30" s="141">
        <v>100</v>
      </c>
      <c r="BH30" s="141">
        <v>100</v>
      </c>
      <c r="BI30" s="141">
        <v>100</v>
      </c>
      <c r="BJ30" s="141">
        <v>100</v>
      </c>
      <c r="BK30" s="141">
        <v>100</v>
      </c>
      <c r="BL30" s="141">
        <v>100</v>
      </c>
      <c r="BM30" s="141">
        <v>100</v>
      </c>
      <c r="BN30" s="141">
        <v>100</v>
      </c>
      <c r="BP30" s="66">
        <f t="shared" si="9"/>
        <v>100</v>
      </c>
      <c r="BQ30" s="66">
        <f t="shared" si="10"/>
        <v>1200</v>
      </c>
      <c r="BR30" s="66">
        <f t="shared" si="11"/>
        <v>100</v>
      </c>
      <c r="BS30" s="66">
        <v>0</v>
      </c>
      <c r="BU30" s="66">
        <f t="shared" si="12"/>
        <v>100</v>
      </c>
      <c r="BV30" s="66">
        <f t="shared" si="13"/>
        <v>100</v>
      </c>
      <c r="BW30" s="66">
        <f t="shared" si="14"/>
        <v>100</v>
      </c>
    </row>
    <row r="31" spans="1:75" ht="75" x14ac:dyDescent="0.25">
      <c r="A31" s="174">
        <f t="shared" si="7"/>
        <v>28</v>
      </c>
      <c r="B31" s="66">
        <f>IF(LEN(D31)&gt;0,VLOOKUP(D31,'1. Lists'!$E$3:$J$52,6,FALSE),"")</f>
        <v>19</v>
      </c>
      <c r="C31" s="66" t="str">
        <f>IF(LEN(D31)&gt;0,VLOOKUP(D31,'1. Lists'!$E$3:$F$52,2,FALSE),"")</f>
        <v>Financial Services</v>
      </c>
      <c r="D31" s="120" t="s">
        <v>377</v>
      </c>
      <c r="E31" s="121"/>
      <c r="F31" s="65" t="str">
        <f>IF(E31&gt;0,VLOOKUP(E31,'2. Top Layer'!$A:$C,3,FALSE),"")</f>
        <v/>
      </c>
      <c r="G31" s="65" t="str">
        <f>IF(E31&gt;0,VLOOKUP(E31,'2. Top Layer'!$A:$T,17,FALSE),"")</f>
        <v/>
      </c>
      <c r="H31" s="66">
        <f>IF(LEN(I31)&gt;0,VLOOKUP(I31,'1. Lists'!$T:$U,2,FALSE),"")</f>
        <v>67</v>
      </c>
      <c r="I31" s="122" t="s">
        <v>437</v>
      </c>
      <c r="J31" s="123"/>
      <c r="K31" s="66">
        <f>IF(LEN(L31)&gt;0,VLOOKUP(L31,'1. Lists'!$AK:$AL,2,FALSE),"")</f>
        <v>9</v>
      </c>
      <c r="L31" s="124" t="s">
        <v>159</v>
      </c>
      <c r="M31" s="70">
        <f>IF(LEN(N31)&gt;0,VLOOKUP(N31,'1. Lists'!$AN:$AQ,4,FALSE),"")</f>
        <v>2</v>
      </c>
      <c r="N31" s="125" t="s">
        <v>382</v>
      </c>
      <c r="O31" s="66">
        <f>IF(LEN(P31)&gt;0,VLOOKUP(P31,'1. Lists'!$AA:$AC,3,FALSE),"")</f>
        <v>4</v>
      </c>
      <c r="P31" s="126" t="s">
        <v>41</v>
      </c>
      <c r="Q31" s="73">
        <f>IF(LEN(R31)&gt;0,VLOOKUP(R31,'1. Lists'!$W:$Y,3,FALSE),"")</f>
        <v>1</v>
      </c>
      <c r="R31" s="127" t="s">
        <v>169</v>
      </c>
      <c r="S31" s="73">
        <f>IF(LEN(T31)&gt;0,VLOOKUP(T31,'1. Lists'!$AH:$AI,2,FALSE),"")</f>
        <v>18</v>
      </c>
      <c r="T31" s="128" t="s">
        <v>403</v>
      </c>
      <c r="U31" s="76">
        <f>IF(LEN(V31)&gt;0,VLOOKUP(V31,'1. Lists'!$AE:$AF,2,FALSE),"")</f>
        <v>11</v>
      </c>
      <c r="V31" s="129" t="s">
        <v>355</v>
      </c>
      <c r="W31" s="130"/>
      <c r="X31" s="131" t="str">
        <f>IF(W31&gt;0,VLOOKUP($W31,'3. Capital'!$A:$J,4,FALSE),"")</f>
        <v/>
      </c>
      <c r="Y31" s="78" t="str">
        <f>IF(W31&gt;0,VLOOKUP($W31,'3. Capital'!$A:$J,10,FALSE),"")</f>
        <v/>
      </c>
      <c r="Z31" s="132" t="s">
        <v>520</v>
      </c>
      <c r="AA31" s="132" t="s">
        <v>521</v>
      </c>
      <c r="AB31" s="66">
        <f>IF(LEN(AC31)&gt;0,VLOOKUP(AC31,'1. Lists'!$AV$3:$AX$7,3,FALSE),"")</f>
        <v>3</v>
      </c>
      <c r="AC31" s="133" t="s">
        <v>4</v>
      </c>
      <c r="AD31" s="66">
        <f>IF(LEN(AE31)&gt;0,VLOOKUP(AE31,'1. Lists'!$AZ$3:$BB$7,3,FALSE),"")</f>
        <v>2</v>
      </c>
      <c r="AE31" s="122" t="s">
        <v>9</v>
      </c>
      <c r="AF31" s="123"/>
      <c r="AG31" s="123"/>
      <c r="AH31" s="66">
        <f>IF(LEN(AI31)&gt;0,VLOOKUP(AI31,'1. Lists'!$BD$3:$BF$15,3,FALSE),"")</f>
        <v>5</v>
      </c>
      <c r="AI31" s="127" t="s">
        <v>340</v>
      </c>
      <c r="AJ31" s="134" t="s">
        <v>68</v>
      </c>
      <c r="AK31" s="135" t="s">
        <v>461</v>
      </c>
      <c r="AL31" s="125" t="s">
        <v>419</v>
      </c>
      <c r="AM31" s="136" t="s">
        <v>566</v>
      </c>
      <c r="AN31" s="123"/>
      <c r="AO31" s="137" t="s">
        <v>626</v>
      </c>
      <c r="AP31" s="137" t="s">
        <v>627</v>
      </c>
      <c r="AQ31" s="123"/>
      <c r="AR31" s="123"/>
      <c r="AS31" s="123"/>
      <c r="AT31" s="123"/>
      <c r="AU31" s="135" t="s">
        <v>460</v>
      </c>
      <c r="AV31" s="80" t="str">
        <f>IF(LEN(AW31)&gt;0,VLOOKUP(AW31,'1. Lists'!$BQ:$BR,2,FALSE),"")</f>
        <v>ACC</v>
      </c>
      <c r="AW31" s="133" t="s">
        <v>14</v>
      </c>
      <c r="AX31" s="80">
        <f>IF(LEN(AY31)&gt;0,VLOOKUP(AY31,'1. Lists'!$BU$3:$BW$5,3,FALSE),"")</f>
        <v>3</v>
      </c>
      <c r="AY31" s="138" t="s">
        <v>83</v>
      </c>
      <c r="AZ31" s="139">
        <v>12</v>
      </c>
      <c r="BA31" s="82">
        <f t="shared" si="8"/>
        <v>12</v>
      </c>
      <c r="BC31" s="141">
        <v>1</v>
      </c>
      <c r="BD31" s="141">
        <v>1</v>
      </c>
      <c r="BE31" s="141">
        <v>1</v>
      </c>
      <c r="BF31" s="141">
        <v>1</v>
      </c>
      <c r="BG31" s="141">
        <v>1</v>
      </c>
      <c r="BH31" s="141">
        <v>1</v>
      </c>
      <c r="BI31" s="141">
        <v>1</v>
      </c>
      <c r="BJ31" s="141">
        <v>1</v>
      </c>
      <c r="BK31" s="141">
        <v>1</v>
      </c>
      <c r="BL31" s="141">
        <v>1</v>
      </c>
      <c r="BM31" s="141">
        <v>1</v>
      </c>
      <c r="BN31" s="141">
        <v>1</v>
      </c>
      <c r="BP31" s="66">
        <f t="shared" si="9"/>
        <v>1</v>
      </c>
      <c r="BQ31" s="66">
        <f t="shared" si="10"/>
        <v>12</v>
      </c>
      <c r="BR31" s="66">
        <f t="shared" si="11"/>
        <v>1</v>
      </c>
      <c r="BS31" s="66">
        <v>0</v>
      </c>
      <c r="BU31" s="66">
        <f t="shared" si="12"/>
        <v>1</v>
      </c>
      <c r="BV31" s="66">
        <f t="shared" si="13"/>
        <v>1</v>
      </c>
      <c r="BW31" s="66">
        <f t="shared" si="14"/>
        <v>1</v>
      </c>
    </row>
    <row r="32" spans="1:75" ht="75" x14ac:dyDescent="0.25">
      <c r="A32" s="174">
        <f t="shared" si="7"/>
        <v>29</v>
      </c>
      <c r="B32" s="66">
        <f>IF(LEN(D32)&gt;0,VLOOKUP(D32,'1. Lists'!$E$3:$J$52,6,FALSE),"")</f>
        <v>19</v>
      </c>
      <c r="C32" s="66" t="str">
        <f>IF(LEN(D32)&gt;0,VLOOKUP(D32,'1. Lists'!$E$3:$F$52,2,FALSE),"")</f>
        <v>Financial Services</v>
      </c>
      <c r="D32" s="120" t="s">
        <v>377</v>
      </c>
      <c r="E32" s="121"/>
      <c r="F32" s="65" t="str">
        <f>IF(E32&gt;0,VLOOKUP(E32,'2. Top Layer'!$A:$C,3,FALSE),"")</f>
        <v/>
      </c>
      <c r="G32" s="65" t="str">
        <f>IF(E32&gt;0,VLOOKUP(E32,'2. Top Layer'!$A:$T,17,FALSE),"")</f>
        <v/>
      </c>
      <c r="H32" s="66">
        <f>IF(LEN(I32)&gt;0,VLOOKUP(I32,'1. Lists'!$T:$U,2,FALSE),"")</f>
        <v>64</v>
      </c>
      <c r="I32" s="122" t="s">
        <v>435</v>
      </c>
      <c r="J32" s="123"/>
      <c r="K32" s="66">
        <f>IF(LEN(L32)&gt;0,VLOOKUP(L32,'1. Lists'!$AK:$AL,2,FALSE),"")</f>
        <v>9</v>
      </c>
      <c r="L32" s="124" t="s">
        <v>159</v>
      </c>
      <c r="M32" s="70">
        <f>IF(LEN(N32)&gt;0,VLOOKUP(N32,'1. Lists'!$AN:$AQ,4,FALSE),"")</f>
        <v>2</v>
      </c>
      <c r="N32" s="125" t="s">
        <v>382</v>
      </c>
      <c r="O32" s="66">
        <f>IF(LEN(P32)&gt;0,VLOOKUP(P32,'1. Lists'!$AA:$AC,3,FALSE),"")</f>
        <v>5</v>
      </c>
      <c r="P32" s="134" t="s">
        <v>42</v>
      </c>
      <c r="Q32" s="73">
        <f>IF(LEN(R32)&gt;0,VLOOKUP(R32,'1. Lists'!$W:$Y,3,FALSE),"")</f>
        <v>1</v>
      </c>
      <c r="R32" s="127" t="s">
        <v>169</v>
      </c>
      <c r="S32" s="73">
        <f>IF(LEN(T32)&gt;0,VLOOKUP(T32,'1. Lists'!$AH:$AI,2,FALSE),"")</f>
        <v>11</v>
      </c>
      <c r="T32" s="128" t="s">
        <v>396</v>
      </c>
      <c r="U32" s="76">
        <f>IF(LEN(V32)&gt;0,VLOOKUP(V32,'1. Lists'!$AE:$AF,2,FALSE),"")</f>
        <v>11</v>
      </c>
      <c r="V32" s="129" t="s">
        <v>355</v>
      </c>
      <c r="W32" s="130"/>
      <c r="X32" s="131" t="str">
        <f>IF(W32&gt;0,VLOOKUP($W32,#REF!,4,FALSE),"")</f>
        <v/>
      </c>
      <c r="Y32" s="78" t="str">
        <f>IF(W32&gt;0,VLOOKUP($W32,#REF!,10,FALSE),"")</f>
        <v/>
      </c>
      <c r="Z32" s="132" t="s">
        <v>791</v>
      </c>
      <c r="AA32" s="132" t="s">
        <v>468</v>
      </c>
      <c r="AB32" s="66">
        <f>IF(LEN(AC32)&gt;0,VLOOKUP(AC32,'1. Lists'!$AV$3:$AX$7,3,FALSE),"")</f>
        <v>2</v>
      </c>
      <c r="AC32" s="133" t="s">
        <v>13</v>
      </c>
      <c r="AD32" s="66">
        <f>IF(LEN(AE32)&gt;0,VLOOKUP(AE32,'1. Lists'!$AZ$3:$BB$7,3,FALSE),"")</f>
        <v>2</v>
      </c>
      <c r="AE32" s="122" t="s">
        <v>9</v>
      </c>
      <c r="AF32" s="123"/>
      <c r="AG32" s="123"/>
      <c r="AH32" s="66">
        <f>IF(LEN(AI32)&gt;0,VLOOKUP(AI32,'1. Lists'!$BD$3:$BF$15,3,FALSE),"")</f>
        <v>5</v>
      </c>
      <c r="AI32" s="127" t="s">
        <v>340</v>
      </c>
      <c r="AJ32" s="134" t="s">
        <v>68</v>
      </c>
      <c r="AK32" s="135" t="s">
        <v>461</v>
      </c>
      <c r="AL32" s="125" t="s">
        <v>419</v>
      </c>
      <c r="AM32" s="136">
        <v>10</v>
      </c>
      <c r="AN32" s="123"/>
      <c r="AO32" s="136" t="s">
        <v>601</v>
      </c>
      <c r="AP32" s="137" t="s">
        <v>790</v>
      </c>
      <c r="AQ32" s="123"/>
      <c r="AR32" s="123"/>
      <c r="AS32" s="123"/>
      <c r="AT32" s="123"/>
      <c r="AU32" s="135" t="s">
        <v>460</v>
      </c>
      <c r="AV32" s="80" t="str">
        <f>IF(LEN(AW32)&gt;0,VLOOKUP(AW32,'1. Lists'!$BQ:$BR,2,FALSE),"")</f>
        <v>ACC</v>
      </c>
      <c r="AW32" s="120" t="s">
        <v>14</v>
      </c>
      <c r="AX32" s="80">
        <f>IF(LEN(AY32)&gt;0,VLOOKUP(AY32,'1. Lists'!$BU$3:$BW$5,3,FALSE),"")</f>
        <v>3</v>
      </c>
      <c r="AY32" s="138" t="s">
        <v>83</v>
      </c>
      <c r="AZ32" s="139">
        <v>12</v>
      </c>
      <c r="BA32" s="82">
        <f t="shared" si="8"/>
        <v>12</v>
      </c>
      <c r="BC32" s="141">
        <v>1</v>
      </c>
      <c r="BD32" s="141">
        <v>1</v>
      </c>
      <c r="BE32" s="141">
        <v>1</v>
      </c>
      <c r="BF32" s="141">
        <v>1</v>
      </c>
      <c r="BG32" s="141">
        <v>1</v>
      </c>
      <c r="BH32" s="141">
        <v>1</v>
      </c>
      <c r="BI32" s="141">
        <v>1</v>
      </c>
      <c r="BJ32" s="141">
        <v>1</v>
      </c>
      <c r="BK32" s="141">
        <v>1</v>
      </c>
      <c r="BL32" s="141">
        <v>1</v>
      </c>
      <c r="BM32" s="141">
        <v>1</v>
      </c>
      <c r="BN32" s="141">
        <v>1</v>
      </c>
      <c r="BP32" s="66">
        <f t="shared" si="9"/>
        <v>1</v>
      </c>
      <c r="BQ32" s="66">
        <f t="shared" si="10"/>
        <v>12</v>
      </c>
      <c r="BR32" s="66">
        <f t="shared" si="11"/>
        <v>1</v>
      </c>
      <c r="BS32" s="66">
        <v>0</v>
      </c>
      <c r="BU32" s="66">
        <f t="shared" si="12"/>
        <v>1</v>
      </c>
      <c r="BV32" s="66">
        <f t="shared" si="13"/>
        <v>1</v>
      </c>
      <c r="BW32" s="66">
        <f t="shared" si="14"/>
        <v>1</v>
      </c>
    </row>
    <row r="33" spans="1:75" ht="75" x14ac:dyDescent="0.25">
      <c r="A33" s="174">
        <f t="shared" si="7"/>
        <v>30</v>
      </c>
      <c r="B33" s="66">
        <f>IF(LEN(D33)&gt;0,VLOOKUP(D33,'1. Lists'!$E$3:$J$52,6,FALSE),"")</f>
        <v>19</v>
      </c>
      <c r="C33" s="66" t="str">
        <f>IF(LEN(D33)&gt;0,VLOOKUP(D33,'1. Lists'!$E$3:$F$52,2,FALSE),"")</f>
        <v>Financial Services</v>
      </c>
      <c r="D33" s="120" t="s">
        <v>377</v>
      </c>
      <c r="E33" s="121"/>
      <c r="F33" s="65"/>
      <c r="H33" s="66">
        <f>IF(LEN(I33)&gt;0,VLOOKUP(I33,'1. Lists'!$T:$U,2,FALSE),"")</f>
        <v>67</v>
      </c>
      <c r="I33" s="122" t="s">
        <v>437</v>
      </c>
      <c r="J33" s="123"/>
      <c r="K33" s="66">
        <f>IF(LEN(L33)&gt;0,VLOOKUP(L33,'1. Lists'!$AK:$AL,2,FALSE),"")</f>
        <v>9</v>
      </c>
      <c r="L33" s="124" t="s">
        <v>159</v>
      </c>
      <c r="M33" s="70">
        <f>IF(LEN(N33)&gt;0,VLOOKUP(N33,'1. Lists'!$AN:$AQ,4,FALSE),"")</f>
        <v>2</v>
      </c>
      <c r="N33" s="125" t="s">
        <v>382</v>
      </c>
      <c r="O33" s="66">
        <f>IF(LEN(P33)&gt;0,VLOOKUP(P33,'1. Lists'!$AA:$AC,3,FALSE),"")</f>
        <v>4</v>
      </c>
      <c r="P33" s="134" t="s">
        <v>41</v>
      </c>
      <c r="Q33" s="73">
        <f>IF(LEN(R33)&gt;0,VLOOKUP(R33,'1. Lists'!$W:$Y,3,FALSE),"")</f>
        <v>1</v>
      </c>
      <c r="R33" s="127" t="s">
        <v>169</v>
      </c>
      <c r="S33" s="73">
        <f>IF(LEN(T33)&gt;0,VLOOKUP(T33,'1. Lists'!$AH:$AI,2,FALSE),"")</f>
        <v>11</v>
      </c>
      <c r="T33" s="128" t="s">
        <v>396</v>
      </c>
      <c r="U33" s="76">
        <f>IF(LEN(V33)&gt;0,VLOOKUP(V33,'1. Lists'!$AE:$AF,2,FALSE),"")</f>
        <v>11</v>
      </c>
      <c r="V33" s="129" t="s">
        <v>355</v>
      </c>
      <c r="W33" s="130"/>
      <c r="X33" s="131"/>
      <c r="Z33" s="132" t="s">
        <v>792</v>
      </c>
      <c r="AA33" s="132" t="s">
        <v>739</v>
      </c>
      <c r="AB33" s="66">
        <f>IF(LEN(AC33)&gt;0,VLOOKUP(AC33,'1. Lists'!$AV$3:$AX$7,3,FALSE),"")</f>
        <v>2</v>
      </c>
      <c r="AC33" s="133" t="s">
        <v>13</v>
      </c>
      <c r="AD33" s="66">
        <f>IF(LEN(AE33)&gt;0,VLOOKUP(AE33,'1. Lists'!$AZ$3:$BB$7,3,FALSE),"")</f>
        <v>2</v>
      </c>
      <c r="AE33" s="122" t="s">
        <v>9</v>
      </c>
      <c r="AF33" s="123"/>
      <c r="AG33" s="123"/>
      <c r="AH33" s="66">
        <f>IF(LEN(AI33)&gt;0,VLOOKUP(AI33,'1. Lists'!$BD$3:$BF$15,3,FALSE),"")</f>
        <v>5</v>
      </c>
      <c r="AI33" s="127" t="s">
        <v>340</v>
      </c>
      <c r="AJ33" s="134" t="s">
        <v>68</v>
      </c>
      <c r="AK33" s="135" t="s">
        <v>461</v>
      </c>
      <c r="AL33" s="125" t="s">
        <v>419</v>
      </c>
      <c r="AM33" s="145" t="s">
        <v>762</v>
      </c>
      <c r="AN33" s="123"/>
      <c r="AO33" s="136" t="s">
        <v>565</v>
      </c>
      <c r="AP33" s="137" t="s">
        <v>790</v>
      </c>
      <c r="AQ33" s="123"/>
      <c r="AR33" s="123"/>
      <c r="AS33" s="123"/>
      <c r="AT33" s="123"/>
      <c r="AU33" s="135" t="s">
        <v>460</v>
      </c>
      <c r="AV33" s="80" t="str">
        <f>IF(LEN(AW33)&gt;0,VLOOKUP(AW33,'1. Lists'!$BQ:$BR,2,FALSE),"")</f>
        <v>ACC</v>
      </c>
      <c r="AW33" s="120" t="s">
        <v>14</v>
      </c>
      <c r="AX33" s="80">
        <f>IF(LEN(AY33)&gt;0,VLOOKUP(AY33,'1. Lists'!$BU$3:$BW$5,3,FALSE),"")</f>
        <v>3</v>
      </c>
      <c r="AY33" s="138" t="s">
        <v>83</v>
      </c>
      <c r="AZ33" s="139">
        <v>4</v>
      </c>
      <c r="BA33" s="82">
        <f t="shared" si="8"/>
        <v>4</v>
      </c>
      <c r="BC33" s="141">
        <v>0</v>
      </c>
      <c r="BD33" s="141">
        <v>0</v>
      </c>
      <c r="BE33" s="141">
        <v>1</v>
      </c>
      <c r="BF33" s="141">
        <v>0</v>
      </c>
      <c r="BG33" s="141">
        <v>0</v>
      </c>
      <c r="BH33" s="141">
        <v>1</v>
      </c>
      <c r="BI33" s="141">
        <v>0</v>
      </c>
      <c r="BJ33" s="141">
        <v>0</v>
      </c>
      <c r="BK33" s="141">
        <v>1</v>
      </c>
      <c r="BL33" s="141">
        <v>0</v>
      </c>
      <c r="BM33" s="141">
        <v>0</v>
      </c>
      <c r="BN33" s="141">
        <v>1</v>
      </c>
      <c r="BP33" s="66">
        <f t="shared" si="9"/>
        <v>1</v>
      </c>
      <c r="BQ33" s="66">
        <f t="shared" si="10"/>
        <v>4</v>
      </c>
      <c r="BR33" s="66">
        <f t="shared" si="11"/>
        <v>1</v>
      </c>
      <c r="BU33" s="66">
        <f t="shared" si="12"/>
        <v>1</v>
      </c>
      <c r="BV33" s="66">
        <f t="shared" si="13"/>
        <v>1</v>
      </c>
      <c r="BW33" s="66">
        <f t="shared" si="14"/>
        <v>1</v>
      </c>
    </row>
    <row r="34" spans="1:75" ht="75" x14ac:dyDescent="0.25">
      <c r="A34" s="174">
        <f t="shared" si="7"/>
        <v>31</v>
      </c>
      <c r="B34" s="66">
        <f>IF(LEN(D34)&gt;0,VLOOKUP(D34,'1. Lists'!$E$3:$J$52,6,FALSE),"")</f>
        <v>19</v>
      </c>
      <c r="C34" s="66" t="str">
        <f>IF(LEN(D34)&gt;0,VLOOKUP(D34,'1. Lists'!$E$3:$F$52,2,FALSE),"")</f>
        <v>Financial Services</v>
      </c>
      <c r="D34" s="120" t="s">
        <v>377</v>
      </c>
      <c r="E34" s="121"/>
      <c r="F34" s="65"/>
      <c r="H34" s="66">
        <f>IF(LEN(I34)&gt;0,VLOOKUP(I34,'1. Lists'!$T:$U,2,FALSE),"")</f>
        <v>67</v>
      </c>
      <c r="I34" s="122" t="s">
        <v>437</v>
      </c>
      <c r="J34" s="123"/>
      <c r="K34" s="66">
        <f>IF(LEN(L34)&gt;0,VLOOKUP(L34,'1. Lists'!$AK:$AL,2,FALSE),"")</f>
        <v>9</v>
      </c>
      <c r="L34" s="124" t="s">
        <v>159</v>
      </c>
      <c r="M34" s="70">
        <f>IF(LEN(N34)&gt;0,VLOOKUP(N34,'1. Lists'!$AN:$AQ,4,FALSE),"")</f>
        <v>2</v>
      </c>
      <c r="N34" s="125" t="s">
        <v>382</v>
      </c>
      <c r="O34" s="66">
        <f>IF(LEN(P34)&gt;0,VLOOKUP(P34,'1. Lists'!$AA:$AC,3,FALSE),"")</f>
        <v>4</v>
      </c>
      <c r="P34" s="134" t="s">
        <v>41</v>
      </c>
      <c r="Q34" s="73">
        <f>IF(LEN(R34)&gt;0,VLOOKUP(R34,'1. Lists'!$W:$Y,3,FALSE),"")</f>
        <v>1</v>
      </c>
      <c r="R34" s="127" t="s">
        <v>169</v>
      </c>
      <c r="S34" s="73">
        <f>IF(LEN(T34)&gt;0,VLOOKUP(T34,'1. Lists'!$AH:$AI,2,FALSE),"")</f>
        <v>11</v>
      </c>
      <c r="T34" s="128" t="s">
        <v>396</v>
      </c>
      <c r="U34" s="76">
        <f>IF(LEN(V34)&gt;0,VLOOKUP(V34,'1. Lists'!$AE:$AF,2,FALSE),"")</f>
        <v>11</v>
      </c>
      <c r="V34" s="129" t="s">
        <v>355</v>
      </c>
      <c r="W34" s="130"/>
      <c r="X34" s="131"/>
      <c r="Z34" s="132" t="s">
        <v>793</v>
      </c>
      <c r="AA34" s="132" t="s">
        <v>794</v>
      </c>
      <c r="AB34" s="66">
        <f>IF(LEN(AC34)&gt;0,VLOOKUP(AC34,'1. Lists'!$AV$3:$AX$7,3,FALSE),"")</f>
        <v>2</v>
      </c>
      <c r="AC34" s="133" t="s">
        <v>13</v>
      </c>
      <c r="AD34" s="66">
        <f>IF(LEN(AE34)&gt;0,VLOOKUP(AE34,'1. Lists'!$AZ$3:$BB$7,3,FALSE),"")</f>
        <v>2</v>
      </c>
      <c r="AE34" s="122" t="s">
        <v>9</v>
      </c>
      <c r="AF34" s="123"/>
      <c r="AG34" s="123"/>
      <c r="AH34" s="66">
        <f>IF(LEN(AI34)&gt;0,VLOOKUP(AI34,'1. Lists'!$BD$3:$BF$15,3,FALSE),"")</f>
        <v>5</v>
      </c>
      <c r="AI34" s="127" t="s">
        <v>340</v>
      </c>
      <c r="AJ34" s="134" t="s">
        <v>68</v>
      </c>
      <c r="AK34" s="135" t="s">
        <v>461</v>
      </c>
      <c r="AL34" s="125" t="s">
        <v>419</v>
      </c>
      <c r="AM34" s="145" t="s">
        <v>762</v>
      </c>
      <c r="AN34" s="123"/>
      <c r="AO34" s="136" t="s">
        <v>795</v>
      </c>
      <c r="AP34" s="137" t="s">
        <v>790</v>
      </c>
      <c r="AQ34" s="123"/>
      <c r="AR34" s="123"/>
      <c r="AS34" s="123"/>
      <c r="AT34" s="123"/>
      <c r="AU34" s="135" t="s">
        <v>460</v>
      </c>
      <c r="AV34" s="80" t="str">
        <f>IF(LEN(AW34)&gt;0,VLOOKUP(AW34,'1. Lists'!$BQ:$BR,2,FALSE),"")</f>
        <v>ACC</v>
      </c>
      <c r="AW34" s="120" t="s">
        <v>14</v>
      </c>
      <c r="AX34" s="80">
        <f>IF(LEN(AY34)&gt;0,VLOOKUP(AY34,'1. Lists'!$BU$3:$BW$5,3,FALSE),"")</f>
        <v>3</v>
      </c>
      <c r="AY34" s="138" t="s">
        <v>83</v>
      </c>
      <c r="AZ34" s="139">
        <v>12</v>
      </c>
      <c r="BA34" s="82">
        <f t="shared" si="8"/>
        <v>12</v>
      </c>
      <c r="BC34" s="141">
        <v>1</v>
      </c>
      <c r="BD34" s="141">
        <v>1</v>
      </c>
      <c r="BE34" s="141">
        <v>1</v>
      </c>
      <c r="BF34" s="141">
        <v>1</v>
      </c>
      <c r="BG34" s="141">
        <v>1</v>
      </c>
      <c r="BH34" s="141">
        <v>1</v>
      </c>
      <c r="BI34" s="141">
        <v>1</v>
      </c>
      <c r="BJ34" s="141">
        <v>1</v>
      </c>
      <c r="BK34" s="141">
        <v>1</v>
      </c>
      <c r="BL34" s="141">
        <v>1</v>
      </c>
      <c r="BM34" s="141">
        <v>1</v>
      </c>
      <c r="BN34" s="141">
        <v>1</v>
      </c>
      <c r="BP34" s="66">
        <f t="shared" si="9"/>
        <v>1</v>
      </c>
      <c r="BQ34" s="66">
        <f t="shared" si="10"/>
        <v>12</v>
      </c>
      <c r="BR34" s="66">
        <f t="shared" si="11"/>
        <v>1</v>
      </c>
      <c r="BU34" s="66">
        <f t="shared" si="12"/>
        <v>1</v>
      </c>
      <c r="BV34" s="66">
        <f t="shared" si="13"/>
        <v>1</v>
      </c>
      <c r="BW34" s="66">
        <f t="shared" si="14"/>
        <v>1</v>
      </c>
    </row>
    <row r="35" spans="1:75" ht="75" x14ac:dyDescent="0.25">
      <c r="A35" s="174">
        <f t="shared" si="7"/>
        <v>32</v>
      </c>
      <c r="B35" s="66">
        <f>IF(LEN(D35)&gt;0,VLOOKUP(D35,'1. Lists'!$E$3:$J$52,6,FALSE),"")</f>
        <v>19</v>
      </c>
      <c r="C35" s="66" t="str">
        <f>IF(LEN(D35)&gt;0,VLOOKUP(D35,'1. Lists'!$E$3:$F$52,2,FALSE),"")</f>
        <v>Financial Services</v>
      </c>
      <c r="D35" s="120" t="s">
        <v>377</v>
      </c>
      <c r="E35" s="121"/>
      <c r="F35" s="65"/>
      <c r="H35" s="66">
        <f>IF(LEN(I35)&gt;0,VLOOKUP(I35,'1. Lists'!$T:$U,2,FALSE),"")</f>
        <v>67</v>
      </c>
      <c r="I35" s="122" t="s">
        <v>437</v>
      </c>
      <c r="J35" s="123"/>
      <c r="K35" s="66">
        <f>IF(LEN(L35)&gt;0,VLOOKUP(L35,'1. Lists'!$AK:$AL,2,FALSE),"")</f>
        <v>9</v>
      </c>
      <c r="L35" s="124" t="s">
        <v>159</v>
      </c>
      <c r="M35" s="70">
        <f>IF(LEN(N35)&gt;0,VLOOKUP(N35,'1. Lists'!$AN:$AQ,4,FALSE),"")</f>
        <v>2</v>
      </c>
      <c r="N35" s="125" t="s">
        <v>382</v>
      </c>
      <c r="O35" s="66">
        <f>IF(LEN(P35)&gt;0,VLOOKUP(P35,'1. Lists'!$AA:$AC,3,FALSE),"")</f>
        <v>4</v>
      </c>
      <c r="P35" s="134" t="s">
        <v>41</v>
      </c>
      <c r="Q35" s="73">
        <f>IF(LEN(R35)&gt;0,VLOOKUP(R35,'1. Lists'!$W:$Y,3,FALSE),"")</f>
        <v>1</v>
      </c>
      <c r="R35" s="127" t="s">
        <v>169</v>
      </c>
      <c r="S35" s="73">
        <f>IF(LEN(T35)&gt;0,VLOOKUP(T35,'1. Lists'!$AH:$AI,2,FALSE),"")</f>
        <v>11</v>
      </c>
      <c r="T35" s="128" t="s">
        <v>396</v>
      </c>
      <c r="U35" s="76">
        <f>IF(LEN(V35)&gt;0,VLOOKUP(V35,'1. Lists'!$AE:$AF,2,FALSE),"")</f>
        <v>11</v>
      </c>
      <c r="V35" s="129" t="s">
        <v>355</v>
      </c>
      <c r="W35" s="130"/>
      <c r="X35" s="131"/>
      <c r="Z35" s="132" t="s">
        <v>796</v>
      </c>
      <c r="AA35" s="132" t="s">
        <v>797</v>
      </c>
      <c r="AB35" s="66">
        <f>IF(LEN(AC35)&gt;0,VLOOKUP(AC35,'1. Lists'!$AV$3:$AX$7,3,FALSE),"")</f>
        <v>3</v>
      </c>
      <c r="AC35" s="133" t="s">
        <v>4</v>
      </c>
      <c r="AD35" s="66">
        <f>IF(LEN(AE35)&gt;0,VLOOKUP(AE35,'1. Lists'!$AZ$3:$BB$7,3,FALSE),"")</f>
        <v>2</v>
      </c>
      <c r="AE35" s="122" t="s">
        <v>9</v>
      </c>
      <c r="AF35" s="123"/>
      <c r="AG35" s="123"/>
      <c r="AH35" s="66">
        <f>IF(LEN(AI35)&gt;0,VLOOKUP(AI35,'1. Lists'!$BD$3:$BF$15,3,FALSE),"")</f>
        <v>5</v>
      </c>
      <c r="AI35" s="127" t="s">
        <v>340</v>
      </c>
      <c r="AJ35" s="134" t="s">
        <v>68</v>
      </c>
      <c r="AK35" s="135" t="s">
        <v>461</v>
      </c>
      <c r="AL35" s="125" t="s">
        <v>419</v>
      </c>
      <c r="AM35" s="145" t="s">
        <v>762</v>
      </c>
      <c r="AN35" s="123"/>
      <c r="AO35" s="145">
        <v>0.85</v>
      </c>
      <c r="AP35" s="137" t="s">
        <v>798</v>
      </c>
      <c r="AQ35" s="123"/>
      <c r="AR35" s="123"/>
      <c r="AS35" s="123"/>
      <c r="AT35" s="123"/>
      <c r="AU35" s="135" t="s">
        <v>460</v>
      </c>
      <c r="AV35" s="80" t="str">
        <f>IF(LEN(AW35)&gt;0,VLOOKUP(AW35,'1. Lists'!$BQ:$BR,2,FALSE),"")</f>
        <v>LAST</v>
      </c>
      <c r="AW35" s="120" t="s">
        <v>190</v>
      </c>
      <c r="AX35" s="80">
        <f>IF(LEN(AY35)&gt;0,VLOOKUP(AY35,'1. Lists'!$BU$3:$BW$5,3,FALSE),"")</f>
        <v>2</v>
      </c>
      <c r="AY35" s="138" t="s">
        <v>82</v>
      </c>
      <c r="AZ35" s="139">
        <v>85</v>
      </c>
      <c r="BA35" s="82">
        <f t="shared" si="8"/>
        <v>85</v>
      </c>
      <c r="BC35" s="141">
        <v>0</v>
      </c>
      <c r="BD35" s="141">
        <v>0</v>
      </c>
      <c r="BE35" s="141">
        <v>0</v>
      </c>
      <c r="BF35" s="141">
        <v>0</v>
      </c>
      <c r="BG35" s="141">
        <v>0</v>
      </c>
      <c r="BH35" s="141">
        <v>0</v>
      </c>
      <c r="BI35" s="141">
        <v>0</v>
      </c>
      <c r="BJ35" s="141">
        <v>0</v>
      </c>
      <c r="BK35" s="141">
        <v>0</v>
      </c>
      <c r="BL35" s="141">
        <v>0</v>
      </c>
      <c r="BM35" s="141">
        <v>0</v>
      </c>
      <c r="BN35" s="141">
        <v>85</v>
      </c>
      <c r="BP35" s="66">
        <f t="shared" si="9"/>
        <v>85</v>
      </c>
      <c r="BQ35" s="66">
        <f t="shared" si="10"/>
        <v>85</v>
      </c>
      <c r="BR35" s="66">
        <f t="shared" si="11"/>
        <v>85</v>
      </c>
      <c r="BU35" s="66">
        <f t="shared" si="12"/>
        <v>85</v>
      </c>
      <c r="BV35" s="66">
        <f t="shared" si="13"/>
        <v>85</v>
      </c>
      <c r="BW35" s="66">
        <f t="shared" si="14"/>
        <v>85</v>
      </c>
    </row>
    <row r="36" spans="1:75" ht="60" x14ac:dyDescent="0.25">
      <c r="A36" s="174">
        <f t="shared" si="7"/>
        <v>33</v>
      </c>
      <c r="B36" s="66">
        <f>IF(LEN(D36)&gt;0,VLOOKUP(D36,'1. Lists'!$E$3:$J$52,6,FALSE),"")</f>
        <v>20</v>
      </c>
      <c r="C36" s="66" t="str">
        <f>IF(LEN(D36)&gt;0,VLOOKUP(D36,'1. Lists'!$E$3:$F$52,2,FALSE),"")</f>
        <v>Financial Services</v>
      </c>
      <c r="D36" s="120" t="s">
        <v>273</v>
      </c>
      <c r="E36" s="121"/>
      <c r="F36" s="65" t="str">
        <f>IF(E36&gt;0,VLOOKUP(E36,'2. Top Layer'!$A:$C,3,FALSE),"")</f>
        <v/>
      </c>
      <c r="G36" s="65" t="str">
        <f>IF(E36&gt;0,VLOOKUP(E36,'2. Top Layer'!$A:$T,17,FALSE),"")</f>
        <v/>
      </c>
      <c r="H36" s="66">
        <f>IF(LEN(I36)&gt;0,VLOOKUP(I36,'1. Lists'!$T:$U,2,FALSE),"")</f>
        <v>70</v>
      </c>
      <c r="I36" s="122" t="s">
        <v>658</v>
      </c>
      <c r="J36" s="123"/>
      <c r="K36" s="66">
        <f>IF(LEN(L36)&gt;0,VLOOKUP(L36,'1. Lists'!$AK:$AL,2,FALSE),"")</f>
        <v>9</v>
      </c>
      <c r="L36" s="124" t="s">
        <v>159</v>
      </c>
      <c r="M36" s="70">
        <f>IF(LEN(N36)&gt;0,VLOOKUP(N36,'1. Lists'!$AN:$AQ,4,FALSE),"")</f>
        <v>2</v>
      </c>
      <c r="N36" s="125" t="s">
        <v>382</v>
      </c>
      <c r="O36" s="66">
        <f>IF(LEN(P36)&gt;0,VLOOKUP(P36,'1. Lists'!$AA:$AC,3,FALSE),"")</f>
        <v>4</v>
      </c>
      <c r="P36" s="126" t="s">
        <v>41</v>
      </c>
      <c r="Q36" s="73">
        <f>IF(LEN(R36)&gt;0,VLOOKUP(R36,'1. Lists'!$W:$Y,3,FALSE),"")</f>
        <v>1</v>
      </c>
      <c r="R36" s="127" t="s">
        <v>169</v>
      </c>
      <c r="S36" s="73">
        <f>IF(LEN(T36)&gt;0,VLOOKUP(T36,'1. Lists'!$AH:$AI,2,FALSE),"")</f>
        <v>11</v>
      </c>
      <c r="T36" s="128" t="s">
        <v>396</v>
      </c>
      <c r="U36" s="76">
        <f>IF(LEN(V36)&gt;0,VLOOKUP(V36,'1. Lists'!$AE:$AF,2,FALSE),"")</f>
        <v>11</v>
      </c>
      <c r="V36" s="129" t="s">
        <v>355</v>
      </c>
      <c r="W36" s="130"/>
      <c r="X36" s="131" t="str">
        <f>IF(W36&gt;0,VLOOKUP($W36,'3. Capital'!$A:$J,4,FALSE),"")</f>
        <v/>
      </c>
      <c r="Y36" s="78" t="str">
        <f>IF(W36&gt;0,VLOOKUP($W36,'3. Capital'!$A:$J,10,FALSE),"")</f>
        <v/>
      </c>
      <c r="Z36" s="132" t="s">
        <v>540</v>
      </c>
      <c r="AA36" s="132" t="s">
        <v>541</v>
      </c>
      <c r="AB36" s="66">
        <f>IF(LEN(AC36)&gt;0,VLOOKUP(AC36,'1. Lists'!$AV$3:$AX$7,3,FALSE),"")</f>
        <v>2</v>
      </c>
      <c r="AC36" s="133" t="s">
        <v>13</v>
      </c>
      <c r="AD36" s="66">
        <f>IF(LEN(AE36)&gt;0,VLOOKUP(AE36,'1. Lists'!$AZ$3:$BB$7,3,FALSE),"")</f>
        <v>2</v>
      </c>
      <c r="AE36" s="122" t="s">
        <v>9</v>
      </c>
      <c r="AF36" s="123"/>
      <c r="AG36" s="123"/>
      <c r="AH36" s="66">
        <f>IF(LEN(AI36)&gt;0,VLOOKUP(AI36,'1. Lists'!$BD$3:$BF$15,3,FALSE),"")</f>
        <v>4</v>
      </c>
      <c r="AI36" s="127" t="s">
        <v>339</v>
      </c>
      <c r="AJ36" s="134" t="s">
        <v>68</v>
      </c>
      <c r="AK36" s="135" t="s">
        <v>461</v>
      </c>
      <c r="AL36" s="125" t="s">
        <v>420</v>
      </c>
      <c r="AM36" s="136">
        <v>1</v>
      </c>
      <c r="AN36" s="123"/>
      <c r="AO36" s="137" t="s">
        <v>636</v>
      </c>
      <c r="AP36" s="137" t="s">
        <v>637</v>
      </c>
      <c r="AQ36" s="123"/>
      <c r="AR36" s="123"/>
      <c r="AS36" s="123"/>
      <c r="AT36" s="123"/>
      <c r="AU36" s="135" t="s">
        <v>460</v>
      </c>
      <c r="AV36" s="80" t="str">
        <f>IF(LEN(AW36)&gt;0,VLOOKUP(AW36,'1. Lists'!$BQ:$BR,2,FALSE),"")</f>
        <v>CO</v>
      </c>
      <c r="AW36" s="133" t="s">
        <v>12</v>
      </c>
      <c r="AX36" s="80">
        <f>IF(LEN(AY36)&gt;0,VLOOKUP(AY36,'1. Lists'!$BU$3:$BW$5,3,FALSE),"")</f>
        <v>3</v>
      </c>
      <c r="AY36" s="138" t="s">
        <v>83</v>
      </c>
      <c r="AZ36" s="139">
        <v>1</v>
      </c>
      <c r="BA36" s="82">
        <f t="shared" si="8"/>
        <v>1</v>
      </c>
      <c r="BC36" s="141">
        <v>0</v>
      </c>
      <c r="BD36" s="141">
        <v>0</v>
      </c>
      <c r="BE36" s="141">
        <v>0</v>
      </c>
      <c r="BF36" s="141">
        <v>0</v>
      </c>
      <c r="BG36" s="141">
        <v>0</v>
      </c>
      <c r="BH36" s="141">
        <v>1</v>
      </c>
      <c r="BI36" s="141">
        <v>0</v>
      </c>
      <c r="BJ36" s="141">
        <v>0</v>
      </c>
      <c r="BK36" s="141">
        <v>0</v>
      </c>
      <c r="BL36" s="141">
        <v>0</v>
      </c>
      <c r="BM36" s="141">
        <v>0</v>
      </c>
      <c r="BN36" s="141">
        <v>0</v>
      </c>
      <c r="BP36" s="66">
        <f t="shared" si="9"/>
        <v>1</v>
      </c>
      <c r="BQ36" s="66">
        <f t="shared" si="10"/>
        <v>1</v>
      </c>
      <c r="BR36" s="66">
        <f t="shared" si="11"/>
        <v>1</v>
      </c>
      <c r="BS36" s="66">
        <v>0</v>
      </c>
      <c r="BU36" s="66">
        <f t="shared" si="12"/>
        <v>1</v>
      </c>
      <c r="BV36" s="66">
        <f t="shared" si="13"/>
        <v>1</v>
      </c>
      <c r="BW36" s="66">
        <f t="shared" si="14"/>
        <v>1</v>
      </c>
    </row>
    <row r="37" spans="1:75" ht="60" x14ac:dyDescent="0.25">
      <c r="A37" s="174">
        <f t="shared" si="7"/>
        <v>34</v>
      </c>
      <c r="B37" s="66">
        <f>IF(LEN(D37)&gt;0,VLOOKUP(D37,'1. Lists'!$E$3:$J$52,6,FALSE),"")</f>
        <v>20</v>
      </c>
      <c r="C37" s="66" t="str">
        <f>IF(LEN(D37)&gt;0,VLOOKUP(D37,'1. Lists'!$E$3:$F$52,2,FALSE),"")</f>
        <v>Financial Services</v>
      </c>
      <c r="D37" s="120" t="s">
        <v>273</v>
      </c>
      <c r="E37" s="121"/>
      <c r="F37" s="65" t="str">
        <f>IF(E37&gt;0,VLOOKUP(E37,'2. Top Layer'!$A:$C,3,FALSE),"")</f>
        <v/>
      </c>
      <c r="G37" s="65" t="str">
        <f>IF(E37&gt;0,VLOOKUP(E37,'2. Top Layer'!$A:$T,17,FALSE),"")</f>
        <v/>
      </c>
      <c r="H37" s="66">
        <f>IF(LEN(I37)&gt;0,VLOOKUP(I37,'1. Lists'!$T:$U,2,FALSE),"")</f>
        <v>70</v>
      </c>
      <c r="I37" s="122" t="s">
        <v>658</v>
      </c>
      <c r="J37" s="123"/>
      <c r="K37" s="66">
        <f>IF(LEN(L37)&gt;0,VLOOKUP(L37,'1. Lists'!$AK:$AL,2,FALSE),"")</f>
        <v>9</v>
      </c>
      <c r="L37" s="124" t="s">
        <v>159</v>
      </c>
      <c r="M37" s="70">
        <f>IF(LEN(N37)&gt;0,VLOOKUP(N37,'1. Lists'!$AN:$AQ,4,FALSE),"")</f>
        <v>2</v>
      </c>
      <c r="N37" s="125" t="s">
        <v>382</v>
      </c>
      <c r="O37" s="66">
        <f>IF(LEN(P37)&gt;0,VLOOKUP(P37,'1. Lists'!$AA:$AC,3,FALSE),"")</f>
        <v>4</v>
      </c>
      <c r="P37" s="126" t="s">
        <v>41</v>
      </c>
      <c r="Q37" s="73">
        <f>IF(LEN(R37)&gt;0,VLOOKUP(R37,'1. Lists'!$W:$Y,3,FALSE),"")</f>
        <v>1</v>
      </c>
      <c r="R37" s="127" t="s">
        <v>169</v>
      </c>
      <c r="S37" s="73">
        <f>IF(LEN(T37)&gt;0,VLOOKUP(T37,'1. Lists'!$AH:$AI,2,FALSE),"")</f>
        <v>11</v>
      </c>
      <c r="T37" s="128" t="s">
        <v>396</v>
      </c>
      <c r="U37" s="76">
        <f>IF(LEN(V37)&gt;0,VLOOKUP(V37,'1. Lists'!$AE:$AF,2,FALSE),"")</f>
        <v>11</v>
      </c>
      <c r="V37" s="129" t="s">
        <v>355</v>
      </c>
      <c r="W37" s="130"/>
      <c r="X37" s="131" t="str">
        <f>IF(W37&gt;0,VLOOKUP($W37,'3. Capital'!$A:$J,4,FALSE),"")</f>
        <v/>
      </c>
      <c r="Y37" s="78" t="str">
        <f>IF(W37&gt;0,VLOOKUP($W37,'3. Capital'!$A:$J,10,FALSE),"")</f>
        <v/>
      </c>
      <c r="Z37" s="132" t="s">
        <v>542</v>
      </c>
      <c r="AA37" s="132" t="s">
        <v>543</v>
      </c>
      <c r="AB37" s="66">
        <f>IF(LEN(AC37)&gt;0,VLOOKUP(AC37,'1. Lists'!$AV$3:$AX$7,3,FALSE),"")</f>
        <v>2</v>
      </c>
      <c r="AC37" s="133" t="s">
        <v>13</v>
      </c>
      <c r="AD37" s="66">
        <f>IF(LEN(AE37)&gt;0,VLOOKUP(AE37,'1. Lists'!$AZ$3:$BB$7,3,FALSE),"")</f>
        <v>2</v>
      </c>
      <c r="AE37" s="122" t="s">
        <v>9</v>
      </c>
      <c r="AF37" s="123"/>
      <c r="AG37" s="123"/>
      <c r="AH37" s="66">
        <f>IF(LEN(AI37)&gt;0,VLOOKUP(AI37,'1. Lists'!$BD$3:$BF$15,3,FALSE),"")</f>
        <v>4</v>
      </c>
      <c r="AI37" s="127" t="s">
        <v>339</v>
      </c>
      <c r="AJ37" s="134" t="s">
        <v>68</v>
      </c>
      <c r="AK37" s="135" t="s">
        <v>461</v>
      </c>
      <c r="AL37" s="125" t="s">
        <v>420</v>
      </c>
      <c r="AM37" s="145">
        <v>1</v>
      </c>
      <c r="AN37" s="123"/>
      <c r="AO37" s="137" t="s">
        <v>638</v>
      </c>
      <c r="AP37" s="137" t="s">
        <v>639</v>
      </c>
      <c r="AQ37" s="123"/>
      <c r="AR37" s="123"/>
      <c r="AS37" s="123"/>
      <c r="AT37" s="123"/>
      <c r="AU37" s="135" t="s">
        <v>460</v>
      </c>
      <c r="AV37" s="80" t="str">
        <f>IF(LEN(AW37)&gt;0,VLOOKUP(AW37,'1. Lists'!$BQ:$BR,2,FALSE),"")</f>
        <v>STD</v>
      </c>
      <c r="AW37" s="133" t="s">
        <v>78</v>
      </c>
      <c r="AX37" s="80">
        <f>IF(LEN(AY37)&gt;0,VLOOKUP(AY37,'1. Lists'!$BU$3:$BW$5,3,FALSE),"")</f>
        <v>2</v>
      </c>
      <c r="AY37" s="138" t="s">
        <v>82</v>
      </c>
      <c r="AZ37" s="139">
        <v>100</v>
      </c>
      <c r="BA37" s="82">
        <f t="shared" si="8"/>
        <v>100</v>
      </c>
      <c r="BC37" s="141">
        <v>100</v>
      </c>
      <c r="BD37" s="141">
        <v>100</v>
      </c>
      <c r="BE37" s="141">
        <v>100</v>
      </c>
      <c r="BF37" s="141">
        <v>100</v>
      </c>
      <c r="BG37" s="141">
        <v>100</v>
      </c>
      <c r="BH37" s="141">
        <v>100</v>
      </c>
      <c r="BI37" s="141">
        <v>100</v>
      </c>
      <c r="BJ37" s="141">
        <v>100</v>
      </c>
      <c r="BK37" s="141">
        <v>100</v>
      </c>
      <c r="BL37" s="141">
        <v>100</v>
      </c>
      <c r="BM37" s="141">
        <v>100</v>
      </c>
      <c r="BN37" s="141">
        <v>100</v>
      </c>
      <c r="BP37" s="66">
        <f t="shared" si="9"/>
        <v>100</v>
      </c>
      <c r="BQ37" s="66">
        <f t="shared" si="10"/>
        <v>1200</v>
      </c>
      <c r="BR37" s="66">
        <f t="shared" si="11"/>
        <v>100</v>
      </c>
      <c r="BS37" s="66">
        <v>0</v>
      </c>
      <c r="BU37" s="66">
        <f t="shared" si="12"/>
        <v>100</v>
      </c>
      <c r="BV37" s="66">
        <f t="shared" si="13"/>
        <v>100</v>
      </c>
      <c r="BW37" s="66">
        <f t="shared" si="14"/>
        <v>100</v>
      </c>
    </row>
    <row r="38" spans="1:75" ht="60" x14ac:dyDescent="0.25">
      <c r="A38" s="174">
        <f t="shared" si="7"/>
        <v>35</v>
      </c>
      <c r="B38" s="66">
        <f>IF(LEN(D38)&gt;0,VLOOKUP(D38,'1. Lists'!$E$3:$J$52,6,FALSE),"")</f>
        <v>20</v>
      </c>
      <c r="C38" s="66" t="str">
        <f>IF(LEN(D38)&gt;0,VLOOKUP(D38,'1. Lists'!$E$3:$F$52,2,FALSE),"")</f>
        <v>Financial Services</v>
      </c>
      <c r="D38" s="120" t="s">
        <v>273</v>
      </c>
      <c r="E38" s="121"/>
      <c r="F38" s="65" t="str">
        <f>IF(E38&gt;0,VLOOKUP(E38,'2. Top Layer'!$A:$C,3,FALSE),"")</f>
        <v/>
      </c>
      <c r="G38" s="65" t="str">
        <f>IF(E38&gt;0,VLOOKUP(E38,'2. Top Layer'!$A:$T,17,FALSE),"")</f>
        <v/>
      </c>
      <c r="H38" s="66">
        <f>IF(LEN(I38)&gt;0,VLOOKUP(I38,'1. Lists'!$T:$U,2,FALSE),"")</f>
        <v>70</v>
      </c>
      <c r="I38" s="122" t="s">
        <v>658</v>
      </c>
      <c r="J38" s="123"/>
      <c r="K38" s="66">
        <f>IF(LEN(L38)&gt;0,VLOOKUP(L38,'1. Lists'!$AK:$AL,2,FALSE),"")</f>
        <v>9</v>
      </c>
      <c r="L38" s="124" t="s">
        <v>159</v>
      </c>
      <c r="M38" s="70">
        <f>IF(LEN(N38)&gt;0,VLOOKUP(N38,'1. Lists'!$AN:$AQ,4,FALSE),"")</f>
        <v>2</v>
      </c>
      <c r="N38" s="125" t="s">
        <v>382</v>
      </c>
      <c r="O38" s="66">
        <f>IF(LEN(P38)&gt;0,VLOOKUP(P38,'1. Lists'!$AA:$AC,3,FALSE),"")</f>
        <v>4</v>
      </c>
      <c r="P38" s="126" t="s">
        <v>41</v>
      </c>
      <c r="Q38" s="73">
        <f>IF(LEN(R38)&gt;0,VLOOKUP(R38,'1. Lists'!$W:$Y,3,FALSE),"")</f>
        <v>1</v>
      </c>
      <c r="R38" s="127" t="s">
        <v>169</v>
      </c>
      <c r="S38" s="73">
        <f>IF(LEN(T38)&gt;0,VLOOKUP(T38,'1. Lists'!$AH:$AI,2,FALSE),"")</f>
        <v>11</v>
      </c>
      <c r="T38" s="128" t="s">
        <v>396</v>
      </c>
      <c r="U38" s="76">
        <f>IF(LEN(V38)&gt;0,VLOOKUP(V38,'1. Lists'!$AE:$AF,2,FALSE),"")</f>
        <v>11</v>
      </c>
      <c r="V38" s="129" t="s">
        <v>355</v>
      </c>
      <c r="W38" s="130"/>
      <c r="X38" s="131" t="str">
        <f>IF(W38&gt;0,VLOOKUP($W38,'3. Capital'!$A:$J,4,FALSE),"")</f>
        <v/>
      </c>
      <c r="Y38" s="78" t="str">
        <f>IF(W38&gt;0,VLOOKUP($W38,'3. Capital'!$A:$J,10,FALSE),"")</f>
        <v/>
      </c>
      <c r="Z38" s="132" t="s">
        <v>544</v>
      </c>
      <c r="AA38" s="132" t="s">
        <v>545</v>
      </c>
      <c r="AB38" s="66">
        <f>IF(LEN(AC38)&gt;0,VLOOKUP(AC38,'1. Lists'!$AV$3:$AX$7,3,FALSE),"")</f>
        <v>2</v>
      </c>
      <c r="AC38" s="133" t="s">
        <v>13</v>
      </c>
      <c r="AD38" s="66">
        <f>IF(LEN(AE38)&gt;0,VLOOKUP(AE38,'1. Lists'!$AZ$3:$BB$7,3,FALSE),"")</f>
        <v>2</v>
      </c>
      <c r="AE38" s="122" t="s">
        <v>9</v>
      </c>
      <c r="AF38" s="123"/>
      <c r="AG38" s="123"/>
      <c r="AH38" s="66">
        <f>IF(LEN(AI38)&gt;0,VLOOKUP(AI38,'1. Lists'!$BD$3:$BF$15,3,FALSE),"")</f>
        <v>4</v>
      </c>
      <c r="AI38" s="127" t="s">
        <v>339</v>
      </c>
      <c r="AJ38" s="134" t="s">
        <v>68</v>
      </c>
      <c r="AK38" s="135" t="s">
        <v>461</v>
      </c>
      <c r="AL38" s="125" t="s">
        <v>420</v>
      </c>
      <c r="AM38" s="145">
        <v>1</v>
      </c>
      <c r="AN38" s="123"/>
      <c r="AO38" s="137" t="s">
        <v>622</v>
      </c>
      <c r="AP38" s="137" t="s">
        <v>640</v>
      </c>
      <c r="AQ38" s="123"/>
      <c r="AR38" s="123"/>
      <c r="AS38" s="123"/>
      <c r="AT38" s="123"/>
      <c r="AU38" s="135" t="s">
        <v>460</v>
      </c>
      <c r="AV38" s="80" t="str">
        <f>IF(LEN(AW38)&gt;0,VLOOKUP(AW38,'1. Lists'!$BQ:$BR,2,FALSE),"")</f>
        <v>STD</v>
      </c>
      <c r="AW38" s="133" t="s">
        <v>78</v>
      </c>
      <c r="AX38" s="80">
        <f>IF(LEN(AY38)&gt;0,VLOOKUP(AY38,'1. Lists'!$BU$3:$BW$5,3,FALSE),"")</f>
        <v>2</v>
      </c>
      <c r="AY38" s="138" t="s">
        <v>82</v>
      </c>
      <c r="AZ38" s="139">
        <v>100</v>
      </c>
      <c r="BA38" s="82">
        <f t="shared" si="8"/>
        <v>100</v>
      </c>
      <c r="BC38" s="141">
        <v>100</v>
      </c>
      <c r="BD38" s="141">
        <v>100</v>
      </c>
      <c r="BE38" s="141">
        <v>100</v>
      </c>
      <c r="BF38" s="141">
        <v>100</v>
      </c>
      <c r="BG38" s="141">
        <v>100</v>
      </c>
      <c r="BH38" s="141">
        <v>100</v>
      </c>
      <c r="BI38" s="141">
        <v>100</v>
      </c>
      <c r="BJ38" s="141">
        <v>100</v>
      </c>
      <c r="BK38" s="141">
        <v>100</v>
      </c>
      <c r="BL38" s="141">
        <v>100</v>
      </c>
      <c r="BM38" s="141">
        <v>100</v>
      </c>
      <c r="BN38" s="141">
        <v>100</v>
      </c>
      <c r="BP38" s="66">
        <f t="shared" si="9"/>
        <v>100</v>
      </c>
      <c r="BQ38" s="66">
        <f t="shared" si="10"/>
        <v>1200</v>
      </c>
      <c r="BR38" s="66">
        <f t="shared" si="11"/>
        <v>100</v>
      </c>
      <c r="BS38" s="66">
        <v>0</v>
      </c>
      <c r="BU38" s="66">
        <f t="shared" si="12"/>
        <v>100</v>
      </c>
      <c r="BV38" s="66">
        <f t="shared" si="13"/>
        <v>100</v>
      </c>
      <c r="BW38" s="66">
        <f t="shared" si="14"/>
        <v>100</v>
      </c>
    </row>
    <row r="39" spans="1:75" ht="60" x14ac:dyDescent="0.25">
      <c r="A39" s="174">
        <f t="shared" si="7"/>
        <v>36</v>
      </c>
      <c r="B39" s="66">
        <f>IF(LEN(D39)&gt;0,VLOOKUP(D39,'1. Lists'!$E$3:$J$52,6,FALSE),"")</f>
        <v>20</v>
      </c>
      <c r="C39" s="66" t="str">
        <f>IF(LEN(D39)&gt;0,VLOOKUP(D39,'1. Lists'!$E$3:$F$52,2,FALSE),"")</f>
        <v>Financial Services</v>
      </c>
      <c r="D39" s="120" t="s">
        <v>273</v>
      </c>
      <c r="E39" s="121"/>
      <c r="F39" s="65" t="str">
        <f>IF(E39&gt;0,VLOOKUP(E39,'2. Top Layer'!$A:$C,3,FALSE),"")</f>
        <v/>
      </c>
      <c r="G39" s="65" t="str">
        <f>IF(E39&gt;0,VLOOKUP(E39,'2. Top Layer'!$A:$T,17,FALSE),"")</f>
        <v/>
      </c>
      <c r="H39" s="66">
        <f>IF(LEN(I39)&gt;0,VLOOKUP(I39,'1. Lists'!$T:$U,2,FALSE),"")</f>
        <v>70</v>
      </c>
      <c r="I39" s="122" t="s">
        <v>658</v>
      </c>
      <c r="J39" s="123"/>
      <c r="K39" s="66">
        <f>IF(LEN(L39)&gt;0,VLOOKUP(L39,'1. Lists'!$AK:$AL,2,FALSE),"")</f>
        <v>9</v>
      </c>
      <c r="L39" s="124" t="s">
        <v>159</v>
      </c>
      <c r="M39" s="70">
        <f>IF(LEN(N39)&gt;0,VLOOKUP(N39,'1. Lists'!$AN:$AQ,4,FALSE),"")</f>
        <v>2</v>
      </c>
      <c r="N39" s="125" t="s">
        <v>382</v>
      </c>
      <c r="O39" s="66">
        <f>IF(LEN(P39)&gt;0,VLOOKUP(P39,'1. Lists'!$AA:$AC,3,FALSE),"")</f>
        <v>4</v>
      </c>
      <c r="P39" s="126" t="s">
        <v>41</v>
      </c>
      <c r="Q39" s="73">
        <f>IF(LEN(R39)&gt;0,VLOOKUP(R39,'1. Lists'!$W:$Y,3,FALSE),"")</f>
        <v>1</v>
      </c>
      <c r="R39" s="127" t="s">
        <v>169</v>
      </c>
      <c r="S39" s="73">
        <f>IF(LEN(T39)&gt;0,VLOOKUP(T39,'1. Lists'!$AH:$AI,2,FALSE),"")</f>
        <v>11</v>
      </c>
      <c r="T39" s="128" t="s">
        <v>396</v>
      </c>
      <c r="U39" s="76">
        <f>IF(LEN(V39)&gt;0,VLOOKUP(V39,'1. Lists'!$AE:$AF,2,FALSE),"")</f>
        <v>11</v>
      </c>
      <c r="V39" s="129" t="s">
        <v>355</v>
      </c>
      <c r="W39" s="130"/>
      <c r="X39" s="131" t="str">
        <f>IF(W39&gt;0,VLOOKUP($W39,'3. Capital'!$A:$J,4,FALSE),"")</f>
        <v/>
      </c>
      <c r="Y39" s="78" t="str">
        <f>IF(W39&gt;0,VLOOKUP($W39,'3. Capital'!$A:$J,10,FALSE),"")</f>
        <v/>
      </c>
      <c r="Z39" s="132" t="s">
        <v>688</v>
      </c>
      <c r="AA39" s="132" t="s">
        <v>506</v>
      </c>
      <c r="AB39" s="66">
        <f>IF(LEN(AC39)&gt;0,VLOOKUP(AC39,'1. Lists'!$AV$3:$AX$7,3,FALSE),"")</f>
        <v>4</v>
      </c>
      <c r="AC39" s="133" t="s">
        <v>52</v>
      </c>
      <c r="AD39" s="66">
        <f>IF(LEN(AE39)&gt;0,VLOOKUP(AE39,'1. Lists'!$AZ$3:$BB$7,3,FALSE),"")</f>
        <v>2</v>
      </c>
      <c r="AE39" s="122" t="s">
        <v>9</v>
      </c>
      <c r="AF39" s="123"/>
      <c r="AG39" s="123"/>
      <c r="AH39" s="66">
        <f>IF(LEN(AI39)&gt;0,VLOOKUP(AI39,'1. Lists'!$BD$3:$BF$15,3,FALSE),"")</f>
        <v>4</v>
      </c>
      <c r="AI39" s="127" t="s">
        <v>339</v>
      </c>
      <c r="AJ39" s="134" t="s">
        <v>68</v>
      </c>
      <c r="AK39" s="135" t="s">
        <v>461</v>
      </c>
      <c r="AL39" s="125" t="s">
        <v>420</v>
      </c>
      <c r="AM39" s="136">
        <v>4</v>
      </c>
      <c r="AN39" s="123"/>
      <c r="AO39" s="137" t="s">
        <v>641</v>
      </c>
      <c r="AP39" s="137" t="s">
        <v>642</v>
      </c>
      <c r="AQ39" s="123"/>
      <c r="AR39" s="123"/>
      <c r="AS39" s="123"/>
      <c r="AT39" s="123"/>
      <c r="AU39" s="135" t="s">
        <v>460</v>
      </c>
      <c r="AV39" s="80" t="str">
        <f>IF(LEN(AW39)&gt;0,VLOOKUP(AW39,'1. Lists'!$BQ:$BR,2,FALSE),"")</f>
        <v>ACC</v>
      </c>
      <c r="AW39" s="133" t="s">
        <v>14</v>
      </c>
      <c r="AX39" s="80">
        <f>IF(LEN(AY39)&gt;0,VLOOKUP(AY39,'1. Lists'!$BU$3:$BW$5,3,FALSE),"")</f>
        <v>3</v>
      </c>
      <c r="AY39" s="138" t="s">
        <v>83</v>
      </c>
      <c r="AZ39" s="139">
        <v>4</v>
      </c>
      <c r="BA39" s="82">
        <f t="shared" si="8"/>
        <v>4</v>
      </c>
      <c r="BC39" s="141">
        <v>0</v>
      </c>
      <c r="BD39" s="141">
        <v>0</v>
      </c>
      <c r="BE39" s="141">
        <v>1</v>
      </c>
      <c r="BF39" s="141">
        <v>0</v>
      </c>
      <c r="BG39" s="141">
        <v>0</v>
      </c>
      <c r="BH39" s="141">
        <v>1</v>
      </c>
      <c r="BI39" s="141">
        <v>0</v>
      </c>
      <c r="BJ39" s="141">
        <v>0</v>
      </c>
      <c r="BK39" s="141">
        <v>1</v>
      </c>
      <c r="BL39" s="141">
        <v>0</v>
      </c>
      <c r="BM39" s="141">
        <v>0</v>
      </c>
      <c r="BN39" s="141">
        <v>1</v>
      </c>
      <c r="BP39" s="66">
        <f t="shared" si="9"/>
        <v>1</v>
      </c>
      <c r="BQ39" s="66">
        <f t="shared" si="10"/>
        <v>4</v>
      </c>
      <c r="BR39" s="66">
        <f t="shared" si="11"/>
        <v>1</v>
      </c>
      <c r="BS39" s="66">
        <v>0</v>
      </c>
      <c r="BU39" s="66">
        <f t="shared" si="12"/>
        <v>1</v>
      </c>
      <c r="BV39" s="66">
        <f t="shared" si="13"/>
        <v>1</v>
      </c>
      <c r="BW39" s="66">
        <f t="shared" si="14"/>
        <v>1</v>
      </c>
    </row>
    <row r="40" spans="1:75" ht="60" x14ac:dyDescent="0.25">
      <c r="A40" s="174">
        <f t="shared" si="7"/>
        <v>37</v>
      </c>
      <c r="B40" s="66">
        <f>IF(LEN(D40)&gt;0,VLOOKUP(D40,'1. Lists'!$E$3:$J$52,6,FALSE),"")</f>
        <v>20</v>
      </c>
      <c r="C40" s="66" t="str">
        <f>IF(LEN(D40)&gt;0,VLOOKUP(D40,'1. Lists'!$E$3:$F$52,2,FALSE),"")</f>
        <v>Financial Services</v>
      </c>
      <c r="D40" s="120" t="s">
        <v>273</v>
      </c>
      <c r="E40" s="121"/>
      <c r="F40" s="65" t="str">
        <f>IF(E40&gt;0,VLOOKUP(E40,'2. Top Layer'!$A:$C,3,FALSE),"")</f>
        <v/>
      </c>
      <c r="G40" s="65" t="str">
        <f>IF(E40&gt;0,VLOOKUP(E40,'2. Top Layer'!$A:$T,17,FALSE),"")</f>
        <v/>
      </c>
      <c r="H40" s="66">
        <f>IF(LEN(I40)&gt;0,VLOOKUP(I40,'1. Lists'!$T:$U,2,FALSE),"")</f>
        <v>70</v>
      </c>
      <c r="I40" s="122" t="s">
        <v>658</v>
      </c>
      <c r="J40" s="123"/>
      <c r="K40" s="66">
        <f>IF(LEN(L40)&gt;0,VLOOKUP(L40,'1. Lists'!$AK:$AL,2,FALSE),"")</f>
        <v>9</v>
      </c>
      <c r="L40" s="124" t="s">
        <v>159</v>
      </c>
      <c r="M40" s="70">
        <f>IF(LEN(N40)&gt;0,VLOOKUP(N40,'1. Lists'!$AN:$AQ,4,FALSE),"")</f>
        <v>2</v>
      </c>
      <c r="N40" s="125" t="s">
        <v>382</v>
      </c>
      <c r="O40" s="66">
        <f>IF(LEN(P40)&gt;0,VLOOKUP(P40,'1. Lists'!$AA:$AC,3,FALSE),"")</f>
        <v>4</v>
      </c>
      <c r="P40" s="126" t="s">
        <v>41</v>
      </c>
      <c r="Q40" s="73">
        <f>IF(LEN(R40)&gt;0,VLOOKUP(R40,'1. Lists'!$W:$Y,3,FALSE),"")</f>
        <v>1</v>
      </c>
      <c r="R40" s="127" t="s">
        <v>169</v>
      </c>
      <c r="S40" s="73">
        <f>IF(LEN(T40)&gt;0,VLOOKUP(T40,'1. Lists'!$AH:$AI,2,FALSE),"")</f>
        <v>11</v>
      </c>
      <c r="T40" s="128" t="s">
        <v>396</v>
      </c>
      <c r="U40" s="76">
        <f>IF(LEN(V40)&gt;0,VLOOKUP(V40,'1. Lists'!$AE:$AF,2,FALSE),"")</f>
        <v>11</v>
      </c>
      <c r="V40" s="129" t="s">
        <v>355</v>
      </c>
      <c r="W40" s="130"/>
      <c r="X40" s="131" t="str">
        <f>IF(W40&gt;0,VLOOKUP($W40,'3. Capital'!$A:$J,4,FALSE),"")</f>
        <v/>
      </c>
      <c r="Y40" s="78" t="str">
        <f>IF(W40&gt;0,VLOOKUP($W40,'3. Capital'!$A:$J,10,FALSE),"")</f>
        <v/>
      </c>
      <c r="Z40" s="132" t="s">
        <v>546</v>
      </c>
      <c r="AA40" s="132" t="s">
        <v>547</v>
      </c>
      <c r="AB40" s="66">
        <f>IF(LEN(AC40)&gt;0,VLOOKUP(AC40,'1. Lists'!$AV$3:$AX$7,3,FALSE),"")</f>
        <v>2</v>
      </c>
      <c r="AC40" s="133" t="s">
        <v>13</v>
      </c>
      <c r="AD40" s="66">
        <f>IF(LEN(AE40)&gt;0,VLOOKUP(AE40,'1. Lists'!$AZ$3:$BB$7,3,FALSE),"")</f>
        <v>2</v>
      </c>
      <c r="AE40" s="122" t="s">
        <v>9</v>
      </c>
      <c r="AF40" s="123"/>
      <c r="AG40" s="123"/>
      <c r="AH40" s="66">
        <f>IF(LEN(AI40)&gt;0,VLOOKUP(AI40,'1. Lists'!$BD$3:$BF$15,3,FALSE),"")</f>
        <v>4</v>
      </c>
      <c r="AI40" s="127" t="s">
        <v>339</v>
      </c>
      <c r="AJ40" s="134" t="s">
        <v>68</v>
      </c>
      <c r="AK40" s="135" t="s">
        <v>461</v>
      </c>
      <c r="AL40" s="125" t="s">
        <v>420</v>
      </c>
      <c r="AM40" s="145">
        <v>1</v>
      </c>
      <c r="AN40" s="123"/>
      <c r="AO40" s="137">
        <v>1</v>
      </c>
      <c r="AP40" s="137" t="s">
        <v>643</v>
      </c>
      <c r="AQ40" s="123"/>
      <c r="AR40" s="123"/>
      <c r="AS40" s="123"/>
      <c r="AT40" s="123"/>
      <c r="AU40" s="135" t="s">
        <v>460</v>
      </c>
      <c r="AV40" s="80" t="str">
        <f>IF(LEN(AW40)&gt;0,VLOOKUP(AW40,'1. Lists'!$BQ:$BR,2,FALSE),"")</f>
        <v>STD</v>
      </c>
      <c r="AW40" s="133" t="s">
        <v>78</v>
      </c>
      <c r="AX40" s="80">
        <f>IF(LEN(AY40)&gt;0,VLOOKUP(AY40,'1. Lists'!$BU$3:$BW$5,3,FALSE),"")</f>
        <v>2</v>
      </c>
      <c r="AY40" s="138" t="s">
        <v>82</v>
      </c>
      <c r="AZ40" s="139">
        <v>100</v>
      </c>
      <c r="BA40" s="82">
        <f t="shared" si="8"/>
        <v>100</v>
      </c>
      <c r="BC40" s="141">
        <v>100</v>
      </c>
      <c r="BD40" s="141">
        <v>100</v>
      </c>
      <c r="BE40" s="141">
        <v>100</v>
      </c>
      <c r="BF40" s="141">
        <v>100</v>
      </c>
      <c r="BG40" s="141">
        <v>100</v>
      </c>
      <c r="BH40" s="141">
        <v>100</v>
      </c>
      <c r="BI40" s="141">
        <v>100</v>
      </c>
      <c r="BJ40" s="141">
        <v>100</v>
      </c>
      <c r="BK40" s="141">
        <v>100</v>
      </c>
      <c r="BL40" s="141">
        <v>100</v>
      </c>
      <c r="BM40" s="141">
        <v>100</v>
      </c>
      <c r="BN40" s="141">
        <v>100</v>
      </c>
      <c r="BP40" s="66">
        <f t="shared" si="9"/>
        <v>100</v>
      </c>
      <c r="BQ40" s="66">
        <f t="shared" si="10"/>
        <v>1200</v>
      </c>
      <c r="BR40" s="66">
        <f t="shared" si="11"/>
        <v>100</v>
      </c>
      <c r="BS40" s="66">
        <v>0</v>
      </c>
      <c r="BU40" s="66">
        <f t="shared" si="12"/>
        <v>100</v>
      </c>
      <c r="BV40" s="66">
        <f t="shared" si="13"/>
        <v>100</v>
      </c>
      <c r="BW40" s="66">
        <f t="shared" si="14"/>
        <v>100</v>
      </c>
    </row>
    <row r="41" spans="1:75" ht="60" x14ac:dyDescent="0.25">
      <c r="A41" s="174">
        <f t="shared" si="7"/>
        <v>38</v>
      </c>
      <c r="B41" s="66">
        <f>IF(LEN(D41)&gt;0,VLOOKUP(D41,'1. Lists'!$E$3:$J$52,6,FALSE),"")</f>
        <v>20</v>
      </c>
      <c r="C41" s="66" t="str">
        <f>IF(LEN(D41)&gt;0,VLOOKUP(D41,'1. Lists'!$E$3:$F$52,2,FALSE),"")</f>
        <v>Financial Services</v>
      </c>
      <c r="D41" s="120" t="s">
        <v>273</v>
      </c>
      <c r="E41" s="121"/>
      <c r="F41" s="65" t="str">
        <f>IF(E41&gt;0,VLOOKUP(E41,'2. Top Layer'!$A:$C,3,FALSE),"")</f>
        <v/>
      </c>
      <c r="G41" s="65" t="str">
        <f>IF(E41&gt;0,VLOOKUP(E41,'2. Top Layer'!$A:$T,17,FALSE),"")</f>
        <v/>
      </c>
      <c r="H41" s="66">
        <f>IF(LEN(I41)&gt;0,VLOOKUP(I41,'1. Lists'!$T:$U,2,FALSE),"")</f>
        <v>70</v>
      </c>
      <c r="I41" s="122" t="s">
        <v>658</v>
      </c>
      <c r="J41" s="123"/>
      <c r="K41" s="66">
        <f>IF(LEN(L41)&gt;0,VLOOKUP(L41,'1. Lists'!$AK:$AL,2,FALSE),"")</f>
        <v>9</v>
      </c>
      <c r="L41" s="124" t="s">
        <v>159</v>
      </c>
      <c r="M41" s="70">
        <f>IF(LEN(N41)&gt;0,VLOOKUP(N41,'1. Lists'!$AN:$AQ,4,FALSE),"")</f>
        <v>2</v>
      </c>
      <c r="N41" s="125" t="s">
        <v>382</v>
      </c>
      <c r="O41" s="66">
        <f>IF(LEN(P41)&gt;0,VLOOKUP(P41,'1. Lists'!$AA:$AC,3,FALSE),"")</f>
        <v>4</v>
      </c>
      <c r="P41" s="126" t="s">
        <v>41</v>
      </c>
      <c r="Q41" s="73">
        <f>IF(LEN(R41)&gt;0,VLOOKUP(R41,'1. Lists'!$W:$Y,3,FALSE),"")</f>
        <v>1</v>
      </c>
      <c r="R41" s="127" t="s">
        <v>169</v>
      </c>
      <c r="S41" s="73">
        <f>IF(LEN(T41)&gt;0,VLOOKUP(T41,'1. Lists'!$AH:$AI,2,FALSE),"")</f>
        <v>11</v>
      </c>
      <c r="T41" s="128" t="s">
        <v>396</v>
      </c>
      <c r="U41" s="76">
        <f>IF(LEN(V41)&gt;0,VLOOKUP(V41,'1. Lists'!$AE:$AF,2,FALSE),"")</f>
        <v>11</v>
      </c>
      <c r="V41" s="129" t="s">
        <v>355</v>
      </c>
      <c r="W41" s="130"/>
      <c r="X41" s="131" t="str">
        <f>IF(W41&gt;0,VLOOKUP($W41,'3. Capital'!$A:$J,4,FALSE),"")</f>
        <v/>
      </c>
      <c r="Y41" s="78" t="str">
        <f>IF(W41&gt;0,VLOOKUP($W41,'3. Capital'!$A:$J,10,FALSE),"")</f>
        <v/>
      </c>
      <c r="Z41" s="132" t="s">
        <v>548</v>
      </c>
      <c r="AA41" s="132" t="s">
        <v>549</v>
      </c>
      <c r="AB41" s="66">
        <f>IF(LEN(AC41)&gt;0,VLOOKUP(AC41,'1. Lists'!$AV$3:$AX$7,3,FALSE),"")</f>
        <v>2</v>
      </c>
      <c r="AC41" s="133" t="s">
        <v>13</v>
      </c>
      <c r="AD41" s="66">
        <f>IF(LEN(AE41)&gt;0,VLOOKUP(AE41,'1. Lists'!$AZ$3:$BB$7,3,FALSE),"")</f>
        <v>2</v>
      </c>
      <c r="AE41" s="122" t="s">
        <v>9</v>
      </c>
      <c r="AF41" s="123"/>
      <c r="AG41" s="123"/>
      <c r="AH41" s="66">
        <f>IF(LEN(AI41)&gt;0,VLOOKUP(AI41,'1. Lists'!$BD$3:$BF$15,3,FALSE),"")</f>
        <v>4</v>
      </c>
      <c r="AI41" s="127" t="s">
        <v>339</v>
      </c>
      <c r="AJ41" s="134" t="s">
        <v>68</v>
      </c>
      <c r="AK41" s="135" t="s">
        <v>461</v>
      </c>
      <c r="AL41" s="125" t="s">
        <v>420</v>
      </c>
      <c r="AM41" s="136">
        <v>1</v>
      </c>
      <c r="AN41" s="123"/>
      <c r="AO41" s="137" t="s">
        <v>587</v>
      </c>
      <c r="AP41" s="137" t="s">
        <v>644</v>
      </c>
      <c r="AQ41" s="123"/>
      <c r="AR41" s="123"/>
      <c r="AS41" s="123"/>
      <c r="AT41" s="123"/>
      <c r="AU41" s="135" t="s">
        <v>460</v>
      </c>
      <c r="AV41" s="80" t="str">
        <f>IF(LEN(AW41)&gt;0,VLOOKUP(AW41,'1. Lists'!$BQ:$BR,2,FALSE),"")</f>
        <v>CO</v>
      </c>
      <c r="AW41" s="133" t="s">
        <v>12</v>
      </c>
      <c r="AX41" s="80">
        <f>IF(LEN(AY41)&gt;0,VLOOKUP(AY41,'1. Lists'!$BU$3:$BW$5,3,FALSE),"")</f>
        <v>3</v>
      </c>
      <c r="AY41" s="138" t="s">
        <v>83</v>
      </c>
      <c r="AZ41" s="139">
        <v>1</v>
      </c>
      <c r="BA41" s="82">
        <f t="shared" si="8"/>
        <v>1</v>
      </c>
      <c r="BC41" s="141">
        <v>0</v>
      </c>
      <c r="BD41" s="141">
        <v>0</v>
      </c>
      <c r="BE41" s="141">
        <v>0</v>
      </c>
      <c r="BF41" s="141">
        <v>0</v>
      </c>
      <c r="BG41" s="141">
        <v>0</v>
      </c>
      <c r="BH41" s="141">
        <v>0</v>
      </c>
      <c r="BI41" s="141">
        <v>0</v>
      </c>
      <c r="BJ41" s="141">
        <v>0</v>
      </c>
      <c r="BK41" s="141">
        <v>0</v>
      </c>
      <c r="BL41" s="141">
        <v>0</v>
      </c>
      <c r="BM41" s="141">
        <v>1</v>
      </c>
      <c r="BN41" s="141">
        <v>0</v>
      </c>
      <c r="BP41" s="66">
        <f t="shared" si="9"/>
        <v>1</v>
      </c>
      <c r="BQ41" s="66">
        <f t="shared" si="10"/>
        <v>1</v>
      </c>
      <c r="BR41" s="66">
        <f t="shared" si="11"/>
        <v>1</v>
      </c>
      <c r="BS41" s="66">
        <v>0</v>
      </c>
      <c r="BU41" s="66">
        <f t="shared" si="12"/>
        <v>1</v>
      </c>
      <c r="BV41" s="66">
        <f t="shared" si="13"/>
        <v>1</v>
      </c>
      <c r="BW41" s="66">
        <f t="shared" si="14"/>
        <v>1</v>
      </c>
    </row>
    <row r="42" spans="1:75" ht="60" x14ac:dyDescent="0.25">
      <c r="A42" s="174">
        <f t="shared" si="7"/>
        <v>39</v>
      </c>
      <c r="B42" s="66">
        <f>IF(LEN(D42)&gt;0,VLOOKUP(D42,'1. Lists'!$E$3:$J$52,6,FALSE),"")</f>
        <v>20</v>
      </c>
      <c r="C42" s="66" t="str">
        <f>IF(LEN(D42)&gt;0,VLOOKUP(D42,'1. Lists'!$E$3:$F$52,2,FALSE),"")</f>
        <v>Financial Services</v>
      </c>
      <c r="D42" s="120" t="s">
        <v>273</v>
      </c>
      <c r="E42" s="121"/>
      <c r="F42" s="65" t="str">
        <f>IF(E42&gt;0,VLOOKUP(E42,'2. Top Layer'!$A:$C,3,FALSE),"")</f>
        <v/>
      </c>
      <c r="G42" s="65" t="str">
        <f>IF(E42&gt;0,VLOOKUP(E42,'2. Top Layer'!$A:$T,17,FALSE),"")</f>
        <v/>
      </c>
      <c r="H42" s="66">
        <f>IF(LEN(I42)&gt;0,VLOOKUP(I42,'1. Lists'!$T:$U,2,FALSE),"")</f>
        <v>70</v>
      </c>
      <c r="I42" s="122" t="s">
        <v>658</v>
      </c>
      <c r="J42" s="123"/>
      <c r="K42" s="66">
        <f>IF(LEN(L42)&gt;0,VLOOKUP(L42,'1. Lists'!$AK:$AL,2,FALSE),"")</f>
        <v>9</v>
      </c>
      <c r="L42" s="124" t="s">
        <v>159</v>
      </c>
      <c r="M42" s="70">
        <f>IF(LEN(N42)&gt;0,VLOOKUP(N42,'1. Lists'!$AN:$AQ,4,FALSE),"")</f>
        <v>2</v>
      </c>
      <c r="N42" s="125" t="s">
        <v>382</v>
      </c>
      <c r="O42" s="66">
        <f>IF(LEN(P42)&gt;0,VLOOKUP(P42,'1. Lists'!$AA:$AC,3,FALSE),"")</f>
        <v>4</v>
      </c>
      <c r="P42" s="126" t="s">
        <v>41</v>
      </c>
      <c r="Q42" s="73">
        <f>IF(LEN(R42)&gt;0,VLOOKUP(R42,'1. Lists'!$W:$Y,3,FALSE),"")</f>
        <v>1</v>
      </c>
      <c r="R42" s="127" t="s">
        <v>169</v>
      </c>
      <c r="S42" s="73">
        <f>IF(LEN(T42)&gt;0,VLOOKUP(T42,'1. Lists'!$AH:$AI,2,FALSE),"")</f>
        <v>11</v>
      </c>
      <c r="T42" s="128" t="s">
        <v>396</v>
      </c>
      <c r="U42" s="76">
        <f>IF(LEN(V42)&gt;0,VLOOKUP(V42,'1. Lists'!$AE:$AF,2,FALSE),"")</f>
        <v>11</v>
      </c>
      <c r="V42" s="129" t="s">
        <v>355</v>
      </c>
      <c r="W42" s="130"/>
      <c r="X42" s="131" t="str">
        <f>IF(W42&gt;0,VLOOKUP($W42,'3. Capital'!$A:$J,4,FALSE),"")</f>
        <v/>
      </c>
      <c r="Y42" s="78" t="str">
        <f>IF(W42&gt;0,VLOOKUP($W42,'3. Capital'!$A:$J,10,FALSE),"")</f>
        <v/>
      </c>
      <c r="Z42" s="132" t="s">
        <v>836</v>
      </c>
      <c r="AA42" s="132" t="s">
        <v>689</v>
      </c>
      <c r="AB42" s="66">
        <f>IF(LEN(AC42)&gt;0,VLOOKUP(AC42,'1. Lists'!$AV$3:$AX$7,3,FALSE),"")</f>
        <v>2</v>
      </c>
      <c r="AC42" s="133" t="s">
        <v>13</v>
      </c>
      <c r="AD42" s="66">
        <f>IF(LEN(AE42)&gt;0,VLOOKUP(AE42,'1. Lists'!$AZ$3:$BB$7,3,FALSE),"")</f>
        <v>2</v>
      </c>
      <c r="AE42" s="122" t="s">
        <v>9</v>
      </c>
      <c r="AF42" s="123"/>
      <c r="AG42" s="123"/>
      <c r="AH42" s="66">
        <f>IF(LEN(AI42)&gt;0,VLOOKUP(AI42,'1. Lists'!$BD$3:$BF$15,3,FALSE),"")</f>
        <v>4</v>
      </c>
      <c r="AI42" s="127" t="s">
        <v>339</v>
      </c>
      <c r="AJ42" s="134" t="s">
        <v>68</v>
      </c>
      <c r="AK42" s="135" t="s">
        <v>461</v>
      </c>
      <c r="AL42" s="125" t="s">
        <v>420</v>
      </c>
      <c r="AM42" s="136" t="s">
        <v>690</v>
      </c>
      <c r="AN42" s="123"/>
      <c r="AO42" s="137" t="s">
        <v>691</v>
      </c>
      <c r="AP42" s="137" t="s">
        <v>692</v>
      </c>
      <c r="AQ42" s="123"/>
      <c r="AR42" s="123"/>
      <c r="AS42" s="123"/>
      <c r="AT42" s="123"/>
      <c r="AU42" s="135" t="s">
        <v>460</v>
      </c>
      <c r="AV42" s="80" t="str">
        <f>IF(LEN(AW42)&gt;0,VLOOKUP(AW42,'1. Lists'!$BQ:$BR,2,FALSE),"")</f>
        <v>ACC</v>
      </c>
      <c r="AW42" s="120" t="s">
        <v>14</v>
      </c>
      <c r="AX42" s="80">
        <f>IF(LEN(AY42)&gt;0,VLOOKUP(AY42,'1. Lists'!$BU$3:$BW$5,3,FALSE),"")</f>
        <v>3</v>
      </c>
      <c r="AY42" s="138" t="s">
        <v>83</v>
      </c>
      <c r="AZ42" s="139">
        <v>4</v>
      </c>
      <c r="BA42" s="82">
        <f t="shared" si="8"/>
        <v>4</v>
      </c>
      <c r="BC42" s="141">
        <v>0</v>
      </c>
      <c r="BD42" s="141">
        <v>0</v>
      </c>
      <c r="BE42" s="141">
        <v>1</v>
      </c>
      <c r="BF42" s="141">
        <v>0</v>
      </c>
      <c r="BG42" s="141">
        <v>0</v>
      </c>
      <c r="BH42" s="141">
        <v>1</v>
      </c>
      <c r="BI42" s="141">
        <v>0</v>
      </c>
      <c r="BJ42" s="141">
        <v>0</v>
      </c>
      <c r="BK42" s="141">
        <v>1</v>
      </c>
      <c r="BL42" s="141">
        <v>0</v>
      </c>
      <c r="BM42" s="141">
        <v>0</v>
      </c>
      <c r="BN42" s="141">
        <v>1</v>
      </c>
      <c r="BP42" s="66">
        <f t="shared" si="9"/>
        <v>1</v>
      </c>
      <c r="BQ42" s="66">
        <f t="shared" si="10"/>
        <v>4</v>
      </c>
      <c r="BR42" s="66">
        <f t="shared" si="11"/>
        <v>1</v>
      </c>
      <c r="BS42" s="66">
        <v>0</v>
      </c>
      <c r="BU42" s="66">
        <f t="shared" si="12"/>
        <v>1</v>
      </c>
      <c r="BV42" s="66">
        <f t="shared" si="13"/>
        <v>1</v>
      </c>
      <c r="BW42" s="66">
        <f t="shared" si="14"/>
        <v>1</v>
      </c>
    </row>
    <row r="43" spans="1:75" ht="60" x14ac:dyDescent="0.25">
      <c r="A43" s="174">
        <f t="shared" si="7"/>
        <v>40</v>
      </c>
      <c r="B43" s="66">
        <f>IF(LEN(D43)&gt;0,VLOOKUP(D43,'1. Lists'!$E$3:$J$52,6,FALSE),"")</f>
        <v>20</v>
      </c>
      <c r="C43" s="66" t="str">
        <f>IF(LEN(D43)&gt;0,VLOOKUP(D43,'1. Lists'!$E$3:$F$52,2,FALSE),"")</f>
        <v>Financial Services</v>
      </c>
      <c r="D43" s="120" t="s">
        <v>273</v>
      </c>
      <c r="E43" s="121"/>
      <c r="F43" s="65" t="str">
        <f>IF(E43&gt;0,VLOOKUP(E43,'2. Top Layer'!$A:$C,3,FALSE),"")</f>
        <v/>
      </c>
      <c r="G43" s="65" t="str">
        <f>IF(E43&gt;0,VLOOKUP(E43,'2. Top Layer'!$A:$T,17,FALSE),"")</f>
        <v/>
      </c>
      <c r="H43" s="66">
        <f>IF(LEN(I43)&gt;0,VLOOKUP(I43,'1. Lists'!$T:$U,2,FALSE),"")</f>
        <v>70</v>
      </c>
      <c r="I43" s="122" t="s">
        <v>658</v>
      </c>
      <c r="J43" s="123"/>
      <c r="K43" s="66">
        <f>IF(LEN(L43)&gt;0,VLOOKUP(L43,'1. Lists'!$AK:$AL,2,FALSE),"")</f>
        <v>9</v>
      </c>
      <c r="L43" s="124" t="s">
        <v>159</v>
      </c>
      <c r="M43" s="70">
        <f>IF(LEN(N43)&gt;0,VLOOKUP(N43,'1. Lists'!$AN:$AQ,4,FALSE),"")</f>
        <v>2</v>
      </c>
      <c r="N43" s="125" t="s">
        <v>382</v>
      </c>
      <c r="O43" s="66">
        <f>IF(LEN(P43)&gt;0,VLOOKUP(P43,'1. Lists'!$AA:$AC,3,FALSE),"")</f>
        <v>4</v>
      </c>
      <c r="P43" s="126" t="s">
        <v>41</v>
      </c>
      <c r="Q43" s="73">
        <f>IF(LEN(R43)&gt;0,VLOOKUP(R43,'1. Lists'!$W:$Y,3,FALSE),"")</f>
        <v>1</v>
      </c>
      <c r="R43" s="127" t="s">
        <v>169</v>
      </c>
      <c r="S43" s="73">
        <f>IF(LEN(T43)&gt;0,VLOOKUP(T43,'1. Lists'!$AH:$AI,2,FALSE),"")</f>
        <v>11</v>
      </c>
      <c r="T43" s="128" t="s">
        <v>396</v>
      </c>
      <c r="U43" s="76">
        <f>IF(LEN(V43)&gt;0,VLOOKUP(V43,'1. Lists'!$AE:$AF,2,FALSE),"")</f>
        <v>11</v>
      </c>
      <c r="V43" s="129" t="s">
        <v>355</v>
      </c>
      <c r="W43" s="130"/>
      <c r="X43" s="131" t="str">
        <f>IF(W43&gt;0,VLOOKUP($W43,'3. Capital'!$A:$J,4,FALSE),"")</f>
        <v/>
      </c>
      <c r="Y43" s="78" t="str">
        <f>IF(W43&gt;0,VLOOKUP($W43,'3. Capital'!$A:$J,10,FALSE),"")</f>
        <v/>
      </c>
      <c r="Z43" s="132" t="s">
        <v>693</v>
      </c>
      <c r="AA43" s="132" t="s">
        <v>694</v>
      </c>
      <c r="AB43" s="66">
        <f>IF(LEN(AC43)&gt;0,VLOOKUP(AC43,'1. Lists'!$AV$3:$AX$7,3,FALSE),"")</f>
        <v>2</v>
      </c>
      <c r="AC43" s="133" t="s">
        <v>13</v>
      </c>
      <c r="AD43" s="66">
        <f>IF(LEN(AE43)&gt;0,VLOOKUP(AE43,'1. Lists'!$AZ$3:$BB$7,3,FALSE),"")</f>
        <v>2</v>
      </c>
      <c r="AE43" s="122" t="s">
        <v>9</v>
      </c>
      <c r="AF43" s="123"/>
      <c r="AG43" s="123"/>
      <c r="AH43" s="66">
        <f>IF(LEN(AI43)&gt;0,VLOOKUP(AI43,'1. Lists'!$BD$3:$BF$15,3,FALSE),"")</f>
        <v>4</v>
      </c>
      <c r="AI43" s="127" t="s">
        <v>339</v>
      </c>
      <c r="AJ43" s="134" t="s">
        <v>68</v>
      </c>
      <c r="AK43" s="135" t="s">
        <v>461</v>
      </c>
      <c r="AL43" s="125" t="s">
        <v>420</v>
      </c>
      <c r="AM43" s="145">
        <v>1</v>
      </c>
      <c r="AN43" s="123"/>
      <c r="AO43" s="137" t="s">
        <v>695</v>
      </c>
      <c r="AP43" s="137" t="s">
        <v>692</v>
      </c>
      <c r="AQ43" s="123"/>
      <c r="AR43" s="123"/>
      <c r="AS43" s="123"/>
      <c r="AT43" s="123"/>
      <c r="AU43" s="135" t="s">
        <v>460</v>
      </c>
      <c r="AV43" s="80" t="str">
        <f>IF(LEN(AW43)&gt;0,VLOOKUP(AW43,'1. Lists'!$BQ:$BR,2,FALSE),"")</f>
        <v>STD</v>
      </c>
      <c r="AW43" s="120" t="s">
        <v>78</v>
      </c>
      <c r="AX43" s="80">
        <f>IF(LEN(AY43)&gt;0,VLOOKUP(AY43,'1. Lists'!$BU$3:$BW$5,3,FALSE),"")</f>
        <v>2</v>
      </c>
      <c r="AY43" s="138" t="s">
        <v>82</v>
      </c>
      <c r="AZ43" s="139">
        <v>100</v>
      </c>
      <c r="BA43" s="82">
        <f t="shared" si="8"/>
        <v>100</v>
      </c>
      <c r="BC43" s="141">
        <v>100</v>
      </c>
      <c r="BD43" s="141">
        <v>100</v>
      </c>
      <c r="BE43" s="141">
        <v>100</v>
      </c>
      <c r="BF43" s="141">
        <v>100</v>
      </c>
      <c r="BG43" s="141">
        <v>100</v>
      </c>
      <c r="BH43" s="141">
        <v>100</v>
      </c>
      <c r="BI43" s="141">
        <v>100</v>
      </c>
      <c r="BJ43" s="141">
        <v>100</v>
      </c>
      <c r="BK43" s="141">
        <v>100</v>
      </c>
      <c r="BL43" s="141">
        <v>100</v>
      </c>
      <c r="BM43" s="141">
        <v>100</v>
      </c>
      <c r="BN43" s="141">
        <v>100</v>
      </c>
      <c r="BP43" s="66">
        <f t="shared" si="9"/>
        <v>100</v>
      </c>
      <c r="BQ43" s="66">
        <f t="shared" si="10"/>
        <v>1200</v>
      </c>
      <c r="BR43" s="66">
        <f t="shared" si="11"/>
        <v>100</v>
      </c>
      <c r="BS43" s="66">
        <v>0</v>
      </c>
      <c r="BU43" s="66">
        <f t="shared" si="12"/>
        <v>100</v>
      </c>
      <c r="BV43" s="66">
        <f t="shared" si="13"/>
        <v>100</v>
      </c>
      <c r="BW43" s="66">
        <f t="shared" si="14"/>
        <v>100</v>
      </c>
    </row>
    <row r="44" spans="1:75" ht="75" x14ac:dyDescent="0.25">
      <c r="A44" s="174">
        <f t="shared" si="7"/>
        <v>41</v>
      </c>
      <c r="B44" s="66">
        <f>IF(LEN(D44)&gt;0,VLOOKUP(D44,'1. Lists'!$E$3:$J$52,6,FALSE),"")</f>
        <v>20</v>
      </c>
      <c r="C44" s="66" t="str">
        <f>IF(LEN(D44)&gt;0,VLOOKUP(D44,'1. Lists'!$E$3:$F$52,2,FALSE),"")</f>
        <v>Financial Services</v>
      </c>
      <c r="D44" s="120" t="s">
        <v>273</v>
      </c>
      <c r="E44" s="121"/>
      <c r="F44" s="65" t="str">
        <f>IF(E44&gt;0,VLOOKUP(E44,'2. Top Layer'!$A:$C,3,FALSE),"")</f>
        <v/>
      </c>
      <c r="G44" s="65" t="str">
        <f>IF(E44&gt;0,VLOOKUP(E44,'2. Top Layer'!$A:$T,17,FALSE),"")</f>
        <v/>
      </c>
      <c r="H44" s="66">
        <f>IF(LEN(I44)&gt;0,VLOOKUP(I44,'1. Lists'!$T:$U,2,FALSE),"")</f>
        <v>64</v>
      </c>
      <c r="I44" s="122" t="s">
        <v>435</v>
      </c>
      <c r="J44" s="123"/>
      <c r="K44" s="66">
        <f>IF(LEN(L44)&gt;0,VLOOKUP(L44,'1. Lists'!$AK:$AL,2,FALSE),"")</f>
        <v>9</v>
      </c>
      <c r="L44" s="124" t="s">
        <v>159</v>
      </c>
      <c r="M44" s="70">
        <f>IF(LEN(N44)&gt;0,VLOOKUP(N44,'1. Lists'!$AN:$AQ,4,FALSE),"")</f>
        <v>2</v>
      </c>
      <c r="N44" s="125" t="s">
        <v>382</v>
      </c>
      <c r="O44" s="66">
        <f>IF(LEN(P44)&gt;0,VLOOKUP(P44,'1. Lists'!$AA:$AC,3,FALSE),"")</f>
        <v>5</v>
      </c>
      <c r="P44" s="134" t="s">
        <v>42</v>
      </c>
      <c r="Q44" s="73">
        <f>IF(LEN(R44)&gt;0,VLOOKUP(R44,'1. Lists'!$W:$Y,3,FALSE),"")</f>
        <v>1</v>
      </c>
      <c r="R44" s="127" t="s">
        <v>169</v>
      </c>
      <c r="S44" s="73">
        <f>IF(LEN(T44)&gt;0,VLOOKUP(T44,'1. Lists'!$AH:$AI,2,FALSE),"")</f>
        <v>11</v>
      </c>
      <c r="T44" s="128" t="s">
        <v>396</v>
      </c>
      <c r="U44" s="76">
        <f>IF(LEN(V44)&gt;0,VLOOKUP(V44,'1. Lists'!$AE:$AF,2,FALSE),"")</f>
        <v>11</v>
      </c>
      <c r="V44" s="129" t="s">
        <v>355</v>
      </c>
      <c r="W44" s="130"/>
      <c r="X44" s="131" t="str">
        <f>IF(W44&gt;0,VLOOKUP($W44,#REF!,4,FALSE),"")</f>
        <v/>
      </c>
      <c r="Y44" s="78" t="str">
        <f>IF(W44&gt;0,VLOOKUP($W44,#REF!,10,FALSE),"")</f>
        <v/>
      </c>
      <c r="Z44" s="132" t="s">
        <v>791</v>
      </c>
      <c r="AA44" s="132" t="s">
        <v>468</v>
      </c>
      <c r="AB44" s="66">
        <f>IF(LEN(AC44)&gt;0,VLOOKUP(AC44,'1. Lists'!$AV$3:$AX$7,3,FALSE),"")</f>
        <v>2</v>
      </c>
      <c r="AC44" s="133" t="s">
        <v>13</v>
      </c>
      <c r="AD44" s="66">
        <f>IF(LEN(AE44)&gt;0,VLOOKUP(AE44,'1. Lists'!$AZ$3:$BB$7,3,FALSE),"")</f>
        <v>2</v>
      </c>
      <c r="AE44" s="122" t="s">
        <v>9</v>
      </c>
      <c r="AF44" s="123"/>
      <c r="AG44" s="123"/>
      <c r="AH44" s="66">
        <f>IF(LEN(AI44)&gt;0,VLOOKUP(AI44,'1. Lists'!$BD$3:$BF$15,3,FALSE),"")</f>
        <v>5</v>
      </c>
      <c r="AI44" s="127" t="s">
        <v>340</v>
      </c>
      <c r="AJ44" s="134" t="s">
        <v>68</v>
      </c>
      <c r="AK44" s="135" t="s">
        <v>461</v>
      </c>
      <c r="AL44" s="125" t="s">
        <v>420</v>
      </c>
      <c r="AM44" s="136">
        <v>10</v>
      </c>
      <c r="AN44" s="123"/>
      <c r="AO44" s="136" t="s">
        <v>601</v>
      </c>
      <c r="AP44" s="137" t="s">
        <v>790</v>
      </c>
      <c r="AQ44" s="123"/>
      <c r="AR44" s="123"/>
      <c r="AS44" s="123"/>
      <c r="AT44" s="123"/>
      <c r="AU44" s="135" t="s">
        <v>460</v>
      </c>
      <c r="AV44" s="80" t="str">
        <f>IF(LEN(AW44)&gt;0,VLOOKUP(AW44,'1. Lists'!$BQ:$BR,2,FALSE),"")</f>
        <v>ACC</v>
      </c>
      <c r="AW44" s="120" t="s">
        <v>14</v>
      </c>
      <c r="AX44" s="80">
        <f>IF(LEN(AY44)&gt;0,VLOOKUP(AY44,'1. Lists'!$BU$3:$BW$5,3,FALSE),"")</f>
        <v>3</v>
      </c>
      <c r="AY44" s="138" t="s">
        <v>83</v>
      </c>
      <c r="AZ44" s="139">
        <v>12</v>
      </c>
      <c r="BA44" s="82">
        <f t="shared" si="8"/>
        <v>12</v>
      </c>
      <c r="BC44" s="141">
        <v>1</v>
      </c>
      <c r="BD44" s="141">
        <v>1</v>
      </c>
      <c r="BE44" s="141">
        <v>1</v>
      </c>
      <c r="BF44" s="141">
        <v>1</v>
      </c>
      <c r="BG44" s="141">
        <v>1</v>
      </c>
      <c r="BH44" s="141">
        <v>1</v>
      </c>
      <c r="BI44" s="141">
        <v>1</v>
      </c>
      <c r="BJ44" s="141">
        <v>1</v>
      </c>
      <c r="BK44" s="141">
        <v>1</v>
      </c>
      <c r="BL44" s="141">
        <v>1</v>
      </c>
      <c r="BM44" s="141">
        <v>1</v>
      </c>
      <c r="BN44" s="141">
        <v>1</v>
      </c>
      <c r="BP44" s="66">
        <f t="shared" si="9"/>
        <v>1</v>
      </c>
      <c r="BQ44" s="66">
        <f t="shared" si="10"/>
        <v>12</v>
      </c>
      <c r="BR44" s="66">
        <f t="shared" si="11"/>
        <v>1</v>
      </c>
      <c r="BS44" s="66">
        <v>0</v>
      </c>
      <c r="BU44" s="66">
        <f t="shared" si="12"/>
        <v>1</v>
      </c>
      <c r="BV44" s="66">
        <f t="shared" si="13"/>
        <v>1</v>
      </c>
      <c r="BW44" s="66">
        <f t="shared" si="14"/>
        <v>1</v>
      </c>
    </row>
    <row r="45" spans="1:75" ht="75" x14ac:dyDescent="0.25">
      <c r="A45" s="174">
        <f t="shared" si="7"/>
        <v>42</v>
      </c>
      <c r="B45" s="66">
        <f>IF(LEN(D45)&gt;0,VLOOKUP(D45,'1. Lists'!$E$3:$J$52,6,FALSE),"")</f>
        <v>20</v>
      </c>
      <c r="C45" s="66" t="str">
        <f>IF(LEN(D45)&gt;0,VLOOKUP(D45,'1. Lists'!$E$3:$F$52,2,FALSE),"")</f>
        <v>Financial Services</v>
      </c>
      <c r="D45" s="120" t="s">
        <v>273</v>
      </c>
      <c r="E45" s="121"/>
      <c r="F45" s="65"/>
      <c r="H45" s="66">
        <f>IF(LEN(I45)&gt;0,VLOOKUP(I45,'1. Lists'!$T:$U,2,FALSE),"")</f>
        <v>67</v>
      </c>
      <c r="I45" s="122" t="s">
        <v>437</v>
      </c>
      <c r="J45" s="123"/>
      <c r="K45" s="66">
        <f>IF(LEN(L45)&gt;0,VLOOKUP(L45,'1. Lists'!$AK:$AL,2,FALSE),"")</f>
        <v>9</v>
      </c>
      <c r="L45" s="124" t="s">
        <v>159</v>
      </c>
      <c r="M45" s="70">
        <f>IF(LEN(N45)&gt;0,VLOOKUP(N45,'1. Lists'!$AN:$AQ,4,FALSE),"")</f>
        <v>2</v>
      </c>
      <c r="N45" s="125" t="s">
        <v>382</v>
      </c>
      <c r="O45" s="66">
        <f>IF(LEN(P45)&gt;0,VLOOKUP(P45,'1. Lists'!$AA:$AC,3,FALSE),"")</f>
        <v>4</v>
      </c>
      <c r="P45" s="134" t="s">
        <v>41</v>
      </c>
      <c r="Q45" s="73">
        <f>IF(LEN(R45)&gt;0,VLOOKUP(R45,'1. Lists'!$W:$Y,3,FALSE),"")</f>
        <v>1</v>
      </c>
      <c r="R45" s="127" t="s">
        <v>169</v>
      </c>
      <c r="S45" s="73">
        <f>IF(LEN(T45)&gt;0,VLOOKUP(T45,'1. Lists'!$AH:$AI,2,FALSE),"")</f>
        <v>11</v>
      </c>
      <c r="T45" s="128" t="s">
        <v>396</v>
      </c>
      <c r="U45" s="76">
        <f>IF(LEN(V45)&gt;0,VLOOKUP(V45,'1. Lists'!$AE:$AF,2,FALSE),"")</f>
        <v>11</v>
      </c>
      <c r="V45" s="129" t="s">
        <v>355</v>
      </c>
      <c r="W45" s="130"/>
      <c r="X45" s="131"/>
      <c r="Z45" s="132" t="s">
        <v>792</v>
      </c>
      <c r="AA45" s="132" t="s">
        <v>739</v>
      </c>
      <c r="AB45" s="66">
        <f>IF(LEN(AC45)&gt;0,VLOOKUP(AC45,'1. Lists'!$AV$3:$AX$7,3,FALSE),"")</f>
        <v>2</v>
      </c>
      <c r="AC45" s="133" t="s">
        <v>13</v>
      </c>
      <c r="AD45" s="66">
        <f>IF(LEN(AE45)&gt;0,VLOOKUP(AE45,'1. Lists'!$AZ$3:$BB$7,3,FALSE),"")</f>
        <v>2</v>
      </c>
      <c r="AE45" s="122" t="s">
        <v>9</v>
      </c>
      <c r="AF45" s="123"/>
      <c r="AG45" s="123"/>
      <c r="AH45" s="66">
        <f>IF(LEN(AI45)&gt;0,VLOOKUP(AI45,'1. Lists'!$BD$3:$BF$15,3,FALSE),"")</f>
        <v>5</v>
      </c>
      <c r="AI45" s="127" t="s">
        <v>340</v>
      </c>
      <c r="AJ45" s="134" t="s">
        <v>68</v>
      </c>
      <c r="AK45" s="135" t="s">
        <v>461</v>
      </c>
      <c r="AL45" s="125" t="s">
        <v>420</v>
      </c>
      <c r="AM45" s="145" t="s">
        <v>762</v>
      </c>
      <c r="AN45" s="123"/>
      <c r="AO45" s="136" t="s">
        <v>565</v>
      </c>
      <c r="AP45" s="137" t="s">
        <v>790</v>
      </c>
      <c r="AQ45" s="123"/>
      <c r="AR45" s="123"/>
      <c r="AS45" s="123"/>
      <c r="AT45" s="123"/>
      <c r="AU45" s="135" t="s">
        <v>460</v>
      </c>
      <c r="AV45" s="80" t="str">
        <f>IF(LEN(AW45)&gt;0,VLOOKUP(AW45,'1. Lists'!$BQ:$BR,2,FALSE),"")</f>
        <v>ACC</v>
      </c>
      <c r="AW45" s="120" t="s">
        <v>14</v>
      </c>
      <c r="AX45" s="80">
        <f>IF(LEN(AY45)&gt;0,VLOOKUP(AY45,'1. Lists'!$BU$3:$BW$5,3,FALSE),"")</f>
        <v>3</v>
      </c>
      <c r="AY45" s="138" t="s">
        <v>83</v>
      </c>
      <c r="AZ45" s="139">
        <v>4</v>
      </c>
      <c r="BA45" s="82">
        <f t="shared" si="8"/>
        <v>4</v>
      </c>
      <c r="BC45" s="141">
        <v>0</v>
      </c>
      <c r="BD45" s="141">
        <v>0</v>
      </c>
      <c r="BE45" s="141">
        <v>1</v>
      </c>
      <c r="BF45" s="141">
        <v>0</v>
      </c>
      <c r="BG45" s="141">
        <v>0</v>
      </c>
      <c r="BH45" s="141">
        <v>1</v>
      </c>
      <c r="BI45" s="141">
        <v>0</v>
      </c>
      <c r="BJ45" s="141">
        <v>0</v>
      </c>
      <c r="BK45" s="141">
        <v>1</v>
      </c>
      <c r="BL45" s="141">
        <v>0</v>
      </c>
      <c r="BM45" s="141">
        <v>0</v>
      </c>
      <c r="BN45" s="141">
        <v>1</v>
      </c>
      <c r="BP45" s="66">
        <f t="shared" si="9"/>
        <v>1</v>
      </c>
      <c r="BQ45" s="66">
        <f t="shared" si="10"/>
        <v>4</v>
      </c>
      <c r="BR45" s="66">
        <f t="shared" si="11"/>
        <v>1</v>
      </c>
      <c r="BU45" s="66">
        <f t="shared" si="12"/>
        <v>1</v>
      </c>
      <c r="BV45" s="66">
        <f t="shared" si="13"/>
        <v>1</v>
      </c>
      <c r="BW45" s="66">
        <f t="shared" si="14"/>
        <v>1</v>
      </c>
    </row>
    <row r="46" spans="1:75" ht="75" x14ac:dyDescent="0.25">
      <c r="A46" s="174">
        <f t="shared" si="7"/>
        <v>43</v>
      </c>
      <c r="B46" s="66">
        <f>IF(LEN(D46)&gt;0,VLOOKUP(D46,'1. Lists'!$E$3:$J$52,6,FALSE),"")</f>
        <v>20</v>
      </c>
      <c r="C46" s="66" t="str">
        <f>IF(LEN(D46)&gt;0,VLOOKUP(D46,'1. Lists'!$E$3:$F$52,2,FALSE),"")</f>
        <v>Financial Services</v>
      </c>
      <c r="D46" s="120" t="s">
        <v>273</v>
      </c>
      <c r="E46" s="121"/>
      <c r="F46" s="65"/>
      <c r="H46" s="66">
        <f>IF(LEN(I46)&gt;0,VLOOKUP(I46,'1. Lists'!$T:$U,2,FALSE),"")</f>
        <v>67</v>
      </c>
      <c r="I46" s="122" t="s">
        <v>437</v>
      </c>
      <c r="J46" s="123"/>
      <c r="K46" s="66">
        <f>IF(LEN(L46)&gt;0,VLOOKUP(L46,'1. Lists'!$AK:$AL,2,FALSE),"")</f>
        <v>9</v>
      </c>
      <c r="L46" s="124" t="s">
        <v>159</v>
      </c>
      <c r="M46" s="70">
        <f>IF(LEN(N46)&gt;0,VLOOKUP(N46,'1. Lists'!$AN:$AQ,4,FALSE),"")</f>
        <v>2</v>
      </c>
      <c r="N46" s="125" t="s">
        <v>382</v>
      </c>
      <c r="O46" s="66">
        <f>IF(LEN(P46)&gt;0,VLOOKUP(P46,'1. Lists'!$AA:$AC,3,FALSE),"")</f>
        <v>4</v>
      </c>
      <c r="P46" s="134" t="s">
        <v>41</v>
      </c>
      <c r="Q46" s="73">
        <f>IF(LEN(R46)&gt;0,VLOOKUP(R46,'1. Lists'!$W:$Y,3,FALSE),"")</f>
        <v>1</v>
      </c>
      <c r="R46" s="127" t="s">
        <v>169</v>
      </c>
      <c r="S46" s="73">
        <f>IF(LEN(T46)&gt;0,VLOOKUP(T46,'1. Lists'!$AH:$AI,2,FALSE),"")</f>
        <v>11</v>
      </c>
      <c r="T46" s="128" t="s">
        <v>396</v>
      </c>
      <c r="U46" s="76">
        <f>IF(LEN(V46)&gt;0,VLOOKUP(V46,'1. Lists'!$AE:$AF,2,FALSE),"")</f>
        <v>11</v>
      </c>
      <c r="V46" s="129" t="s">
        <v>355</v>
      </c>
      <c r="W46" s="130"/>
      <c r="X46" s="131"/>
      <c r="Z46" s="132" t="s">
        <v>793</v>
      </c>
      <c r="AA46" s="132" t="s">
        <v>794</v>
      </c>
      <c r="AB46" s="66">
        <f>IF(LEN(AC46)&gt;0,VLOOKUP(AC46,'1. Lists'!$AV$3:$AX$7,3,FALSE),"")</f>
        <v>2</v>
      </c>
      <c r="AC46" s="133" t="s">
        <v>13</v>
      </c>
      <c r="AD46" s="66">
        <f>IF(LEN(AE46)&gt;0,VLOOKUP(AE46,'1. Lists'!$AZ$3:$BB$7,3,FALSE),"")</f>
        <v>2</v>
      </c>
      <c r="AE46" s="122" t="s">
        <v>9</v>
      </c>
      <c r="AF46" s="123"/>
      <c r="AG46" s="123"/>
      <c r="AH46" s="66">
        <f>IF(LEN(AI46)&gt;0,VLOOKUP(AI46,'1. Lists'!$BD$3:$BF$15,3,FALSE),"")</f>
        <v>5</v>
      </c>
      <c r="AI46" s="127" t="s">
        <v>340</v>
      </c>
      <c r="AJ46" s="134" t="s">
        <v>68</v>
      </c>
      <c r="AK46" s="135" t="s">
        <v>461</v>
      </c>
      <c r="AL46" s="125" t="s">
        <v>420</v>
      </c>
      <c r="AM46" s="145" t="s">
        <v>762</v>
      </c>
      <c r="AN46" s="123"/>
      <c r="AO46" s="136" t="s">
        <v>795</v>
      </c>
      <c r="AP46" s="137" t="s">
        <v>790</v>
      </c>
      <c r="AQ46" s="123"/>
      <c r="AR46" s="123"/>
      <c r="AS46" s="123"/>
      <c r="AT46" s="123"/>
      <c r="AU46" s="135" t="s">
        <v>460</v>
      </c>
      <c r="AV46" s="80" t="str">
        <f>IF(LEN(AW46)&gt;0,VLOOKUP(AW46,'1. Lists'!$BQ:$BR,2,FALSE),"")</f>
        <v>ACC</v>
      </c>
      <c r="AW46" s="120" t="s">
        <v>14</v>
      </c>
      <c r="AX46" s="80">
        <f>IF(LEN(AY46)&gt;0,VLOOKUP(AY46,'1. Lists'!$BU$3:$BW$5,3,FALSE),"")</f>
        <v>3</v>
      </c>
      <c r="AY46" s="138" t="s">
        <v>83</v>
      </c>
      <c r="AZ46" s="139">
        <v>12</v>
      </c>
      <c r="BA46" s="82">
        <f t="shared" si="8"/>
        <v>12</v>
      </c>
      <c r="BC46" s="141">
        <v>1</v>
      </c>
      <c r="BD46" s="141">
        <v>1</v>
      </c>
      <c r="BE46" s="141">
        <v>1</v>
      </c>
      <c r="BF46" s="141">
        <v>1</v>
      </c>
      <c r="BG46" s="141">
        <v>1</v>
      </c>
      <c r="BH46" s="141">
        <v>1</v>
      </c>
      <c r="BI46" s="141">
        <v>1</v>
      </c>
      <c r="BJ46" s="141">
        <v>1</v>
      </c>
      <c r="BK46" s="141">
        <v>1</v>
      </c>
      <c r="BL46" s="141">
        <v>1</v>
      </c>
      <c r="BM46" s="141">
        <v>1</v>
      </c>
      <c r="BN46" s="141">
        <v>1</v>
      </c>
      <c r="BP46" s="66">
        <f t="shared" si="9"/>
        <v>1</v>
      </c>
      <c r="BQ46" s="66">
        <f t="shared" si="10"/>
        <v>12</v>
      </c>
      <c r="BR46" s="66">
        <f t="shared" si="11"/>
        <v>1</v>
      </c>
      <c r="BU46" s="66">
        <f t="shared" si="12"/>
        <v>1</v>
      </c>
      <c r="BV46" s="66">
        <f t="shared" si="13"/>
        <v>1</v>
      </c>
      <c r="BW46" s="66">
        <f t="shared" si="14"/>
        <v>1</v>
      </c>
    </row>
    <row r="47" spans="1:75" ht="75" x14ac:dyDescent="0.25">
      <c r="A47" s="174">
        <f t="shared" si="7"/>
        <v>44</v>
      </c>
      <c r="B47" s="66">
        <f>IF(LEN(D47)&gt;0,VLOOKUP(D47,'1. Lists'!$E$3:$J$52,6,FALSE),"")</f>
        <v>20</v>
      </c>
      <c r="C47" s="66" t="str">
        <f>IF(LEN(D47)&gt;0,VLOOKUP(D47,'1. Lists'!$E$3:$F$52,2,FALSE),"")</f>
        <v>Financial Services</v>
      </c>
      <c r="D47" s="120" t="s">
        <v>273</v>
      </c>
      <c r="E47" s="121"/>
      <c r="F47" s="65"/>
      <c r="H47" s="66">
        <f>IF(LEN(I47)&gt;0,VLOOKUP(I47,'1. Lists'!$T:$U,2,FALSE),"")</f>
        <v>67</v>
      </c>
      <c r="I47" s="122" t="s">
        <v>437</v>
      </c>
      <c r="J47" s="123"/>
      <c r="K47" s="66">
        <f>IF(LEN(L47)&gt;0,VLOOKUP(L47,'1. Lists'!$AK:$AL,2,FALSE),"")</f>
        <v>9</v>
      </c>
      <c r="L47" s="124" t="s">
        <v>159</v>
      </c>
      <c r="M47" s="70">
        <f>IF(LEN(N47)&gt;0,VLOOKUP(N47,'1. Lists'!$AN:$AQ,4,FALSE),"")</f>
        <v>2</v>
      </c>
      <c r="N47" s="125" t="s">
        <v>382</v>
      </c>
      <c r="O47" s="66">
        <f>IF(LEN(P47)&gt;0,VLOOKUP(P47,'1. Lists'!$AA:$AC,3,FALSE),"")</f>
        <v>4</v>
      </c>
      <c r="P47" s="134" t="s">
        <v>41</v>
      </c>
      <c r="Q47" s="73">
        <f>IF(LEN(R47)&gt;0,VLOOKUP(R47,'1. Lists'!$W:$Y,3,FALSE),"")</f>
        <v>1</v>
      </c>
      <c r="R47" s="127" t="s">
        <v>169</v>
      </c>
      <c r="S47" s="73">
        <f>IF(LEN(T47)&gt;0,VLOOKUP(T47,'1. Lists'!$AH:$AI,2,FALSE),"")</f>
        <v>11</v>
      </c>
      <c r="T47" s="128" t="s">
        <v>396</v>
      </c>
      <c r="U47" s="76">
        <f>IF(LEN(V47)&gt;0,VLOOKUP(V47,'1. Lists'!$AE:$AF,2,FALSE),"")</f>
        <v>11</v>
      </c>
      <c r="V47" s="129" t="s">
        <v>355</v>
      </c>
      <c r="W47" s="130"/>
      <c r="X47" s="131"/>
      <c r="Z47" s="132" t="s">
        <v>796</v>
      </c>
      <c r="AA47" s="132" t="s">
        <v>797</v>
      </c>
      <c r="AB47" s="66">
        <f>IF(LEN(AC47)&gt;0,VLOOKUP(AC47,'1. Lists'!$AV$3:$AX$7,3,FALSE),"")</f>
        <v>3</v>
      </c>
      <c r="AC47" s="133" t="s">
        <v>4</v>
      </c>
      <c r="AD47" s="66">
        <f>IF(LEN(AE47)&gt;0,VLOOKUP(AE47,'1. Lists'!$AZ$3:$BB$7,3,FALSE),"")</f>
        <v>2</v>
      </c>
      <c r="AE47" s="122" t="s">
        <v>9</v>
      </c>
      <c r="AF47" s="123"/>
      <c r="AG47" s="123"/>
      <c r="AH47" s="66">
        <f>IF(LEN(AI47)&gt;0,VLOOKUP(AI47,'1. Lists'!$BD$3:$BF$15,3,FALSE),"")</f>
        <v>5</v>
      </c>
      <c r="AI47" s="127" t="s">
        <v>340</v>
      </c>
      <c r="AJ47" s="134" t="s">
        <v>68</v>
      </c>
      <c r="AK47" s="135" t="s">
        <v>461</v>
      </c>
      <c r="AL47" s="125" t="s">
        <v>420</v>
      </c>
      <c r="AM47" s="145" t="s">
        <v>762</v>
      </c>
      <c r="AN47" s="123"/>
      <c r="AO47" s="145">
        <v>0.85</v>
      </c>
      <c r="AP47" s="137" t="s">
        <v>798</v>
      </c>
      <c r="AQ47" s="123"/>
      <c r="AR47" s="123"/>
      <c r="AS47" s="123"/>
      <c r="AT47" s="123"/>
      <c r="AU47" s="135" t="s">
        <v>460</v>
      </c>
      <c r="AV47" s="80" t="str">
        <f>IF(LEN(AW47)&gt;0,VLOOKUP(AW47,'1. Lists'!$BQ:$BR,2,FALSE),"")</f>
        <v>LAST</v>
      </c>
      <c r="AW47" s="120" t="s">
        <v>190</v>
      </c>
      <c r="AX47" s="80">
        <f>IF(LEN(AY47)&gt;0,VLOOKUP(AY47,'1. Lists'!$BU$3:$BW$5,3,FALSE),"")</f>
        <v>2</v>
      </c>
      <c r="AY47" s="138" t="s">
        <v>82</v>
      </c>
      <c r="AZ47" s="139">
        <v>85</v>
      </c>
      <c r="BA47" s="82">
        <f t="shared" si="8"/>
        <v>85</v>
      </c>
      <c r="BC47" s="141">
        <v>0</v>
      </c>
      <c r="BD47" s="141">
        <v>0</v>
      </c>
      <c r="BE47" s="141">
        <v>0</v>
      </c>
      <c r="BF47" s="141">
        <v>0</v>
      </c>
      <c r="BG47" s="141">
        <v>0</v>
      </c>
      <c r="BH47" s="141">
        <v>0</v>
      </c>
      <c r="BI47" s="141">
        <v>0</v>
      </c>
      <c r="BJ47" s="141">
        <v>0</v>
      </c>
      <c r="BK47" s="141">
        <v>0</v>
      </c>
      <c r="BL47" s="141">
        <v>0</v>
      </c>
      <c r="BM47" s="141">
        <v>0</v>
      </c>
      <c r="BN47" s="141">
        <v>85</v>
      </c>
      <c r="BP47" s="66">
        <f t="shared" si="9"/>
        <v>85</v>
      </c>
      <c r="BQ47" s="66">
        <f t="shared" si="10"/>
        <v>85</v>
      </c>
      <c r="BR47" s="66">
        <f t="shared" si="11"/>
        <v>85</v>
      </c>
      <c r="BU47" s="66">
        <f t="shared" si="12"/>
        <v>85</v>
      </c>
      <c r="BV47" s="66">
        <f t="shared" si="13"/>
        <v>85</v>
      </c>
      <c r="BW47" s="66">
        <f t="shared" si="14"/>
        <v>85</v>
      </c>
    </row>
    <row r="48" spans="1:75" ht="60" x14ac:dyDescent="0.25">
      <c r="A48" s="174">
        <f t="shared" si="7"/>
        <v>45</v>
      </c>
      <c r="B48" s="66">
        <f>IF(LEN(D48)&gt;0,VLOOKUP(D48,'1. Lists'!$E$3:$J$52,6,FALSE),"")</f>
        <v>21</v>
      </c>
      <c r="C48" s="66" t="str">
        <f>IF(LEN(D48)&gt;0,VLOOKUP(D48,'1. Lists'!$E$3:$F$52,2,FALSE),"")</f>
        <v>Financial Services</v>
      </c>
      <c r="D48" s="120" t="s">
        <v>378</v>
      </c>
      <c r="E48" s="121"/>
      <c r="F48" s="65" t="str">
        <f>IF(E48&gt;0,VLOOKUP(E48,'2. Top Layer'!$A:$C,3,FALSE),"")</f>
        <v/>
      </c>
      <c r="G48" s="65" t="str">
        <f>IF(E48&gt;0,VLOOKUP(E48,'2. Top Layer'!$A:$T,17,FALSE),"")</f>
        <v/>
      </c>
      <c r="H48" s="66">
        <f>IF(LEN(I48)&gt;0,VLOOKUP(I48,'1. Lists'!$T:$U,2,FALSE),"")</f>
        <v>139</v>
      </c>
      <c r="I48" s="122" t="s">
        <v>659</v>
      </c>
      <c r="J48" s="123"/>
      <c r="K48" s="66">
        <f>IF(LEN(L48)&gt;0,VLOOKUP(L48,'1. Lists'!$AK:$AL,2,FALSE),"")</f>
        <v>9</v>
      </c>
      <c r="L48" s="124" t="s">
        <v>159</v>
      </c>
      <c r="M48" s="70">
        <f>IF(LEN(N48)&gt;0,VLOOKUP(N48,'1. Lists'!$AN:$AQ,4,FALSE),"")</f>
        <v>2</v>
      </c>
      <c r="N48" s="125" t="s">
        <v>382</v>
      </c>
      <c r="O48" s="66">
        <f>IF(LEN(P48)&gt;0,VLOOKUP(P48,'1. Lists'!$AA:$AC,3,FALSE),"")</f>
        <v>4</v>
      </c>
      <c r="P48" s="126" t="s">
        <v>41</v>
      </c>
      <c r="Q48" s="73">
        <f>IF(LEN(R48)&gt;0,VLOOKUP(R48,'1. Lists'!$W:$Y,3,FALSE),"")</f>
        <v>1</v>
      </c>
      <c r="R48" s="127" t="s">
        <v>169</v>
      </c>
      <c r="S48" s="73">
        <f>IF(LEN(T48)&gt;0,VLOOKUP(T48,'1. Lists'!$AH:$AI,2,FALSE),"")</f>
        <v>11</v>
      </c>
      <c r="T48" s="128" t="s">
        <v>396</v>
      </c>
      <c r="U48" s="76">
        <f>IF(LEN(V48)&gt;0,VLOOKUP(V48,'1. Lists'!$AE:$AF,2,FALSE),"")</f>
        <v>11</v>
      </c>
      <c r="V48" s="129" t="s">
        <v>355</v>
      </c>
      <c r="W48" s="130"/>
      <c r="X48" s="131" t="str">
        <f>IF(W48&gt;0,VLOOKUP($W48,'3. Capital'!$A:$J,4,FALSE),"")</f>
        <v/>
      </c>
      <c r="Y48" s="78" t="str">
        <f>IF(W48&gt;0,VLOOKUP($W48,'3. Capital'!$A:$J,10,FALSE),"")</f>
        <v/>
      </c>
      <c r="Z48" s="132" t="s">
        <v>550</v>
      </c>
      <c r="AA48" s="132" t="s">
        <v>551</v>
      </c>
      <c r="AB48" s="66">
        <f>IF(LEN(AC48)&gt;0,VLOOKUP(AC48,'1. Lists'!$AV$3:$AX$7,3,FALSE),"")</f>
        <v>4</v>
      </c>
      <c r="AC48" s="133" t="s">
        <v>52</v>
      </c>
      <c r="AD48" s="66">
        <f>IF(LEN(AE48)&gt;0,VLOOKUP(AE48,'1. Lists'!$AZ$3:$BB$7,3,FALSE),"")</f>
        <v>2</v>
      </c>
      <c r="AE48" s="122" t="s">
        <v>9</v>
      </c>
      <c r="AF48" s="123"/>
      <c r="AG48" s="123"/>
      <c r="AH48" s="66">
        <f>IF(LEN(AI48)&gt;0,VLOOKUP(AI48,'1. Lists'!$BD$3:$BF$15,3,FALSE),"")</f>
        <v>4</v>
      </c>
      <c r="AI48" s="127" t="s">
        <v>339</v>
      </c>
      <c r="AJ48" s="134" t="s">
        <v>68</v>
      </c>
      <c r="AK48" s="135" t="s">
        <v>461</v>
      </c>
      <c r="AL48" s="125" t="s">
        <v>422</v>
      </c>
      <c r="AM48" s="136">
        <v>12</v>
      </c>
      <c r="AN48" s="123"/>
      <c r="AO48" s="137" t="s">
        <v>601</v>
      </c>
      <c r="AP48" s="137" t="s">
        <v>645</v>
      </c>
      <c r="AQ48" s="123"/>
      <c r="AR48" s="123"/>
      <c r="AS48" s="123"/>
      <c r="AT48" s="123"/>
      <c r="AU48" s="135" t="s">
        <v>460</v>
      </c>
      <c r="AV48" s="80" t="str">
        <f>IF(LEN(AW48)&gt;0,VLOOKUP(AW48,'1. Lists'!$BQ:$BR,2,FALSE),"")</f>
        <v>ACC</v>
      </c>
      <c r="AW48" s="133" t="s">
        <v>14</v>
      </c>
      <c r="AX48" s="80">
        <f>IF(LEN(AY48)&gt;0,VLOOKUP(AY48,'1. Lists'!$BU$3:$BW$5,3,FALSE),"")</f>
        <v>3</v>
      </c>
      <c r="AY48" s="138" t="s">
        <v>83</v>
      </c>
      <c r="AZ48" s="139">
        <v>12</v>
      </c>
      <c r="BA48" s="82">
        <f t="shared" si="8"/>
        <v>12</v>
      </c>
      <c r="BC48" s="141">
        <v>1</v>
      </c>
      <c r="BD48" s="141">
        <v>1</v>
      </c>
      <c r="BE48" s="141">
        <v>1</v>
      </c>
      <c r="BF48" s="141">
        <v>1</v>
      </c>
      <c r="BG48" s="141">
        <v>1</v>
      </c>
      <c r="BH48" s="141">
        <v>1</v>
      </c>
      <c r="BI48" s="141">
        <v>1</v>
      </c>
      <c r="BJ48" s="141">
        <v>1</v>
      </c>
      <c r="BK48" s="141">
        <v>1</v>
      </c>
      <c r="BL48" s="141">
        <v>1</v>
      </c>
      <c r="BM48" s="141">
        <v>1</v>
      </c>
      <c r="BN48" s="141">
        <v>1</v>
      </c>
      <c r="BP48" s="66">
        <f t="shared" si="9"/>
        <v>1</v>
      </c>
      <c r="BQ48" s="66">
        <f t="shared" si="10"/>
        <v>12</v>
      </c>
      <c r="BR48" s="66">
        <f t="shared" si="11"/>
        <v>1</v>
      </c>
      <c r="BS48" s="66">
        <v>0</v>
      </c>
      <c r="BU48" s="66">
        <f t="shared" si="12"/>
        <v>1</v>
      </c>
      <c r="BV48" s="66">
        <f t="shared" si="13"/>
        <v>1</v>
      </c>
      <c r="BW48" s="66">
        <f t="shared" si="14"/>
        <v>1</v>
      </c>
    </row>
    <row r="49" spans="1:75" ht="60" x14ac:dyDescent="0.25">
      <c r="A49" s="174">
        <f t="shared" si="7"/>
        <v>46</v>
      </c>
      <c r="B49" s="66">
        <f>IF(LEN(D49)&gt;0,VLOOKUP(D49,'1. Lists'!$E$3:$J$52,6,FALSE),"")</f>
        <v>21</v>
      </c>
      <c r="C49" s="66" t="str">
        <f>IF(LEN(D49)&gt;0,VLOOKUP(D49,'1. Lists'!$E$3:$F$52,2,FALSE),"")</f>
        <v>Financial Services</v>
      </c>
      <c r="D49" s="120" t="s">
        <v>378</v>
      </c>
      <c r="E49" s="121"/>
      <c r="F49" s="65" t="str">
        <f>IF(E49&gt;0,VLOOKUP(E49,'2. Top Layer'!$A:$C,3,FALSE),"")</f>
        <v/>
      </c>
      <c r="G49" s="65" t="str">
        <f>IF(E49&gt;0,VLOOKUP(E49,'2. Top Layer'!$A:$T,17,FALSE),"")</f>
        <v/>
      </c>
      <c r="H49" s="66">
        <f>IF(LEN(I49)&gt;0,VLOOKUP(I49,'1. Lists'!$T:$U,2,FALSE),"")</f>
        <v>139</v>
      </c>
      <c r="I49" s="122" t="s">
        <v>659</v>
      </c>
      <c r="J49" s="123"/>
      <c r="K49" s="66">
        <f>IF(LEN(L49)&gt;0,VLOOKUP(L49,'1. Lists'!$AK:$AL,2,FALSE),"")</f>
        <v>9</v>
      </c>
      <c r="L49" s="124" t="s">
        <v>159</v>
      </c>
      <c r="M49" s="70">
        <f>IF(LEN(N49)&gt;0,VLOOKUP(N49,'1. Lists'!$AN:$AQ,4,FALSE),"")</f>
        <v>2</v>
      </c>
      <c r="N49" s="125" t="s">
        <v>382</v>
      </c>
      <c r="O49" s="66">
        <f>IF(LEN(P49)&gt;0,VLOOKUP(P49,'1. Lists'!$AA:$AC,3,FALSE),"")</f>
        <v>4</v>
      </c>
      <c r="P49" s="126" t="s">
        <v>41</v>
      </c>
      <c r="Q49" s="73">
        <f>IF(LEN(R49)&gt;0,VLOOKUP(R49,'1. Lists'!$W:$Y,3,FALSE),"")</f>
        <v>1</v>
      </c>
      <c r="R49" s="127" t="s">
        <v>169</v>
      </c>
      <c r="S49" s="73">
        <f>IF(LEN(T49)&gt;0,VLOOKUP(T49,'1. Lists'!$AH:$AI,2,FALSE),"")</f>
        <v>11</v>
      </c>
      <c r="T49" s="128" t="s">
        <v>396</v>
      </c>
      <c r="U49" s="76">
        <f>IF(LEN(V49)&gt;0,VLOOKUP(V49,'1. Lists'!$AE:$AF,2,FALSE),"")</f>
        <v>11</v>
      </c>
      <c r="V49" s="129" t="s">
        <v>355</v>
      </c>
      <c r="W49" s="130"/>
      <c r="X49" s="131" t="str">
        <f>IF(W49&gt;0,VLOOKUP($W49,'3. Capital'!$A:$J,4,FALSE),"")</f>
        <v/>
      </c>
      <c r="Y49" s="78" t="str">
        <f>IF(W49&gt;0,VLOOKUP($W49,'3. Capital'!$A:$J,10,FALSE),"")</f>
        <v/>
      </c>
      <c r="Z49" s="132" t="s">
        <v>552</v>
      </c>
      <c r="AA49" s="132" t="s">
        <v>553</v>
      </c>
      <c r="AB49" s="66">
        <f>IF(LEN(AC49)&gt;0,VLOOKUP(AC49,'1. Lists'!$AV$3:$AX$7,3,FALSE),"")</f>
        <v>2</v>
      </c>
      <c r="AC49" s="133" t="s">
        <v>13</v>
      </c>
      <c r="AD49" s="66">
        <f>IF(LEN(AE49)&gt;0,VLOOKUP(AE49,'1. Lists'!$AZ$3:$BB$7,3,FALSE),"")</f>
        <v>2</v>
      </c>
      <c r="AE49" s="122" t="s">
        <v>9</v>
      </c>
      <c r="AF49" s="123"/>
      <c r="AG49" s="123"/>
      <c r="AH49" s="66">
        <f>IF(LEN(AI49)&gt;0,VLOOKUP(AI49,'1. Lists'!$BD$3:$BF$15,3,FALSE),"")</f>
        <v>4</v>
      </c>
      <c r="AI49" s="127" t="s">
        <v>339</v>
      </c>
      <c r="AJ49" s="134" t="s">
        <v>68</v>
      </c>
      <c r="AK49" s="135" t="s">
        <v>461</v>
      </c>
      <c r="AL49" s="125" t="s">
        <v>422</v>
      </c>
      <c r="AM49" s="145">
        <v>1</v>
      </c>
      <c r="AN49" s="123"/>
      <c r="AO49" s="137">
        <v>1</v>
      </c>
      <c r="AP49" s="137" t="s">
        <v>646</v>
      </c>
      <c r="AQ49" s="123"/>
      <c r="AR49" s="123"/>
      <c r="AS49" s="123"/>
      <c r="AT49" s="123"/>
      <c r="AU49" s="135" t="s">
        <v>460</v>
      </c>
      <c r="AV49" s="80" t="str">
        <f>IF(LEN(AW49)&gt;0,VLOOKUP(AW49,'1. Lists'!$BQ:$BR,2,FALSE),"")</f>
        <v>STD</v>
      </c>
      <c r="AW49" s="133" t="s">
        <v>78</v>
      </c>
      <c r="AX49" s="80">
        <f>IF(LEN(AY49)&gt;0,VLOOKUP(AY49,'1. Lists'!$BU$3:$BW$5,3,FALSE),"")</f>
        <v>2</v>
      </c>
      <c r="AY49" s="138" t="s">
        <v>82</v>
      </c>
      <c r="AZ49" s="139">
        <v>100</v>
      </c>
      <c r="BA49" s="82">
        <f t="shared" si="8"/>
        <v>100</v>
      </c>
      <c r="BC49" s="141">
        <v>100</v>
      </c>
      <c r="BD49" s="141">
        <v>100</v>
      </c>
      <c r="BE49" s="141">
        <v>100</v>
      </c>
      <c r="BF49" s="141">
        <v>100</v>
      </c>
      <c r="BG49" s="141">
        <v>100</v>
      </c>
      <c r="BH49" s="141">
        <v>100</v>
      </c>
      <c r="BI49" s="141">
        <v>100</v>
      </c>
      <c r="BJ49" s="141">
        <v>100</v>
      </c>
      <c r="BK49" s="141">
        <v>100</v>
      </c>
      <c r="BL49" s="141">
        <v>100</v>
      </c>
      <c r="BM49" s="141">
        <v>100</v>
      </c>
      <c r="BN49" s="141">
        <v>100</v>
      </c>
      <c r="BP49" s="66">
        <f t="shared" si="9"/>
        <v>100</v>
      </c>
      <c r="BQ49" s="66">
        <f t="shared" si="10"/>
        <v>1200</v>
      </c>
      <c r="BR49" s="66">
        <f t="shared" si="11"/>
        <v>100</v>
      </c>
      <c r="BS49" s="66">
        <v>0</v>
      </c>
      <c r="BU49" s="66">
        <f t="shared" si="12"/>
        <v>100</v>
      </c>
      <c r="BV49" s="66">
        <f t="shared" si="13"/>
        <v>100</v>
      </c>
      <c r="BW49" s="66">
        <f t="shared" si="14"/>
        <v>100</v>
      </c>
    </row>
    <row r="50" spans="1:75" ht="60" x14ac:dyDescent="0.25">
      <c r="A50" s="174">
        <f t="shared" si="7"/>
        <v>47</v>
      </c>
      <c r="B50" s="66">
        <f>IF(LEN(D50)&gt;0,VLOOKUP(D50,'1. Lists'!$E$3:$J$52,6,FALSE),"")</f>
        <v>21</v>
      </c>
      <c r="C50" s="66" t="str">
        <f>IF(LEN(D50)&gt;0,VLOOKUP(D50,'1. Lists'!$E$3:$F$52,2,FALSE),"")</f>
        <v>Financial Services</v>
      </c>
      <c r="D50" s="120" t="s">
        <v>378</v>
      </c>
      <c r="E50" s="121"/>
      <c r="F50" s="65" t="str">
        <f>IF(E50&gt;0,VLOOKUP(E50,'2. Top Layer'!$A:$C,3,FALSE),"")</f>
        <v/>
      </c>
      <c r="G50" s="65" t="str">
        <f>IF(E50&gt;0,VLOOKUP(E50,'2. Top Layer'!$A:$T,17,FALSE),"")</f>
        <v/>
      </c>
      <c r="H50" s="66">
        <f>IF(LEN(I50)&gt;0,VLOOKUP(I50,'1. Lists'!$T:$U,2,FALSE),"")</f>
        <v>139</v>
      </c>
      <c r="I50" s="122" t="s">
        <v>659</v>
      </c>
      <c r="J50" s="123"/>
      <c r="K50" s="66">
        <f>IF(LEN(L50)&gt;0,VLOOKUP(L50,'1. Lists'!$AK:$AL,2,FALSE),"")</f>
        <v>9</v>
      </c>
      <c r="L50" s="124" t="s">
        <v>159</v>
      </c>
      <c r="M50" s="70">
        <f>IF(LEN(N50)&gt;0,VLOOKUP(N50,'1. Lists'!$AN:$AQ,4,FALSE),"")</f>
        <v>2</v>
      </c>
      <c r="N50" s="125" t="s">
        <v>382</v>
      </c>
      <c r="O50" s="66">
        <f>IF(LEN(P50)&gt;0,VLOOKUP(P50,'1. Lists'!$AA:$AC,3,FALSE),"")</f>
        <v>4</v>
      </c>
      <c r="P50" s="126" t="s">
        <v>41</v>
      </c>
      <c r="Q50" s="73">
        <f>IF(LEN(R50)&gt;0,VLOOKUP(R50,'1. Lists'!$W:$Y,3,FALSE),"")</f>
        <v>1</v>
      </c>
      <c r="R50" s="127" t="s">
        <v>169</v>
      </c>
      <c r="S50" s="73">
        <f>IF(LEN(T50)&gt;0,VLOOKUP(T50,'1. Lists'!$AH:$AI,2,FALSE),"")</f>
        <v>11</v>
      </c>
      <c r="T50" s="128" t="s">
        <v>396</v>
      </c>
      <c r="U50" s="76">
        <f>IF(LEN(V50)&gt;0,VLOOKUP(V50,'1. Lists'!$AE:$AF,2,FALSE),"")</f>
        <v>11</v>
      </c>
      <c r="V50" s="129" t="s">
        <v>355</v>
      </c>
      <c r="W50" s="130"/>
      <c r="X50" s="131" t="str">
        <f>IF(W50&gt;0,VLOOKUP($W50,'3. Capital'!$A:$J,4,FALSE),"")</f>
        <v/>
      </c>
      <c r="Y50" s="78" t="str">
        <f>IF(W50&gt;0,VLOOKUP($W50,'3. Capital'!$A:$J,10,FALSE),"")</f>
        <v/>
      </c>
      <c r="Z50" s="132" t="s">
        <v>848</v>
      </c>
      <c r="AA50" s="132" t="s">
        <v>514</v>
      </c>
      <c r="AB50" s="66">
        <f>IF(LEN(AC50)&gt;0,VLOOKUP(AC50,'1. Lists'!$AV$3:$AX$7,3,FALSE),"")</f>
        <v>2</v>
      </c>
      <c r="AC50" s="133" t="s">
        <v>13</v>
      </c>
      <c r="AD50" s="66">
        <f>IF(LEN(AE50)&gt;0,VLOOKUP(AE50,'1. Lists'!$AZ$3:$BB$7,3,FALSE),"")</f>
        <v>2</v>
      </c>
      <c r="AE50" s="122" t="s">
        <v>9</v>
      </c>
      <c r="AF50" s="123"/>
      <c r="AG50" s="123"/>
      <c r="AH50" s="66">
        <f>IF(LEN(AI50)&gt;0,VLOOKUP(AI50,'1. Lists'!$BD$3:$BF$15,3,FALSE),"")</f>
        <v>4</v>
      </c>
      <c r="AI50" s="127" t="s">
        <v>339</v>
      </c>
      <c r="AJ50" s="134" t="s">
        <v>68</v>
      </c>
      <c r="AK50" s="135" t="s">
        <v>461</v>
      </c>
      <c r="AL50" s="125" t="s">
        <v>422</v>
      </c>
      <c r="AM50" s="136">
        <v>10</v>
      </c>
      <c r="AN50" s="123"/>
      <c r="AO50" s="137" t="s">
        <v>647</v>
      </c>
      <c r="AP50" s="137" t="s">
        <v>648</v>
      </c>
      <c r="AQ50" s="123"/>
      <c r="AR50" s="123"/>
      <c r="AS50" s="123"/>
      <c r="AT50" s="123"/>
      <c r="AU50" s="135" t="s">
        <v>460</v>
      </c>
      <c r="AV50" s="80" t="str">
        <f>IF(LEN(AW50)&gt;0,VLOOKUP(AW50,'1. Lists'!$BQ:$BR,2,FALSE),"")</f>
        <v>ACC</v>
      </c>
      <c r="AW50" s="133" t="s">
        <v>14</v>
      </c>
      <c r="AX50" s="80">
        <f>IF(LEN(AY50)&gt;0,VLOOKUP(AY50,'1. Lists'!$BU$3:$BW$5,3,FALSE),"")</f>
        <v>3</v>
      </c>
      <c r="AY50" s="138" t="s">
        <v>83</v>
      </c>
      <c r="AZ50" s="139">
        <v>12</v>
      </c>
      <c r="BA50" s="82">
        <f t="shared" si="8"/>
        <v>12</v>
      </c>
      <c r="BC50" s="141">
        <v>1</v>
      </c>
      <c r="BD50" s="141">
        <v>1</v>
      </c>
      <c r="BE50" s="141">
        <v>1</v>
      </c>
      <c r="BF50" s="141">
        <v>1</v>
      </c>
      <c r="BG50" s="141">
        <v>1</v>
      </c>
      <c r="BH50" s="141">
        <v>1</v>
      </c>
      <c r="BI50" s="141">
        <v>1</v>
      </c>
      <c r="BJ50" s="141">
        <v>1</v>
      </c>
      <c r="BK50" s="141">
        <v>1</v>
      </c>
      <c r="BL50" s="141">
        <v>1</v>
      </c>
      <c r="BM50" s="141">
        <v>1</v>
      </c>
      <c r="BN50" s="141">
        <v>1</v>
      </c>
      <c r="BP50" s="66">
        <f t="shared" si="9"/>
        <v>1</v>
      </c>
      <c r="BQ50" s="66">
        <f t="shared" si="10"/>
        <v>12</v>
      </c>
      <c r="BR50" s="66">
        <f t="shared" si="11"/>
        <v>1</v>
      </c>
      <c r="BS50" s="66">
        <v>0</v>
      </c>
      <c r="BU50" s="66">
        <f t="shared" si="12"/>
        <v>1</v>
      </c>
      <c r="BV50" s="66">
        <f t="shared" si="13"/>
        <v>1</v>
      </c>
      <c r="BW50" s="66">
        <f t="shared" si="14"/>
        <v>1</v>
      </c>
    </row>
    <row r="51" spans="1:75" ht="60" x14ac:dyDescent="0.25">
      <c r="A51" s="174">
        <f t="shared" si="7"/>
        <v>48</v>
      </c>
      <c r="B51" s="66">
        <f>IF(LEN(D51)&gt;0,VLOOKUP(D51,'1. Lists'!$E$3:$J$52,6,FALSE),"")</f>
        <v>21</v>
      </c>
      <c r="C51" s="66" t="str">
        <f>IF(LEN(D51)&gt;0,VLOOKUP(D51,'1. Lists'!$E$3:$F$52,2,FALSE),"")</f>
        <v>Financial Services</v>
      </c>
      <c r="D51" s="120" t="s">
        <v>378</v>
      </c>
      <c r="E51" s="121"/>
      <c r="F51" s="65" t="str">
        <f>IF(E51&gt;0,VLOOKUP(E51,'2. Top Layer'!$A:$C,3,FALSE),"")</f>
        <v/>
      </c>
      <c r="G51" s="65" t="str">
        <f>IF(E51&gt;0,VLOOKUP(E51,'2. Top Layer'!$A:$T,17,FALSE),"")</f>
        <v/>
      </c>
      <c r="H51" s="66">
        <f>IF(LEN(I51)&gt;0,VLOOKUP(I51,'1. Lists'!$T:$U,2,FALSE),"")</f>
        <v>139</v>
      </c>
      <c r="I51" s="122" t="s">
        <v>659</v>
      </c>
      <c r="J51" s="123"/>
      <c r="K51" s="66">
        <f>IF(LEN(L51)&gt;0,VLOOKUP(L51,'1. Lists'!$AK:$AL,2,FALSE),"")</f>
        <v>9</v>
      </c>
      <c r="L51" s="124" t="s">
        <v>159</v>
      </c>
      <c r="M51" s="70">
        <f>IF(LEN(N51)&gt;0,VLOOKUP(N51,'1. Lists'!$AN:$AQ,4,FALSE),"")</f>
        <v>2</v>
      </c>
      <c r="N51" s="125" t="s">
        <v>382</v>
      </c>
      <c r="O51" s="66">
        <f>IF(LEN(P51)&gt;0,VLOOKUP(P51,'1. Lists'!$AA:$AC,3,FALSE),"")</f>
        <v>4</v>
      </c>
      <c r="P51" s="126" t="s">
        <v>41</v>
      </c>
      <c r="Q51" s="73">
        <f>IF(LEN(R51)&gt;0,VLOOKUP(R51,'1. Lists'!$W:$Y,3,FALSE),"")</f>
        <v>1</v>
      </c>
      <c r="R51" s="127" t="s">
        <v>169</v>
      </c>
      <c r="S51" s="73">
        <f>IF(LEN(T51)&gt;0,VLOOKUP(T51,'1. Lists'!$AH:$AI,2,FALSE),"")</f>
        <v>11</v>
      </c>
      <c r="T51" s="128" t="s">
        <v>396</v>
      </c>
      <c r="U51" s="76">
        <f>IF(LEN(V51)&gt;0,VLOOKUP(V51,'1. Lists'!$AE:$AF,2,FALSE),"")</f>
        <v>11</v>
      </c>
      <c r="V51" s="129" t="s">
        <v>355</v>
      </c>
      <c r="W51" s="130"/>
      <c r="X51" s="131" t="str">
        <f>IF(W51&gt;0,VLOOKUP($W51,'3. Capital'!$A:$J,4,FALSE),"")</f>
        <v/>
      </c>
      <c r="Y51" s="78" t="str">
        <f>IF(W51&gt;0,VLOOKUP($W51,'3. Capital'!$A:$J,10,FALSE),"")</f>
        <v/>
      </c>
      <c r="Z51" s="132" t="s">
        <v>554</v>
      </c>
      <c r="AA51" s="132" t="s">
        <v>514</v>
      </c>
      <c r="AB51" s="66">
        <f>IF(LEN(AC51)&gt;0,VLOOKUP(AC51,'1. Lists'!$AV$3:$AX$7,3,FALSE),"")</f>
        <v>2</v>
      </c>
      <c r="AC51" s="133" t="s">
        <v>13</v>
      </c>
      <c r="AD51" s="66">
        <f>IF(LEN(AE51)&gt;0,VLOOKUP(AE51,'1. Lists'!$AZ$3:$BB$7,3,FALSE),"")</f>
        <v>2</v>
      </c>
      <c r="AE51" s="122" t="s">
        <v>9</v>
      </c>
      <c r="AF51" s="123"/>
      <c r="AG51" s="123"/>
      <c r="AH51" s="66">
        <f>IF(LEN(AI51)&gt;0,VLOOKUP(AI51,'1. Lists'!$BD$3:$BF$15,3,FALSE),"")</f>
        <v>4</v>
      </c>
      <c r="AI51" s="127" t="s">
        <v>339</v>
      </c>
      <c r="AJ51" s="134" t="s">
        <v>68</v>
      </c>
      <c r="AK51" s="135" t="s">
        <v>461</v>
      </c>
      <c r="AL51" s="125" t="s">
        <v>422</v>
      </c>
      <c r="AM51" s="136">
        <v>48</v>
      </c>
      <c r="AN51" s="123"/>
      <c r="AO51" s="137" t="s">
        <v>647</v>
      </c>
      <c r="AP51" s="137" t="s">
        <v>649</v>
      </c>
      <c r="AQ51" s="123"/>
      <c r="AR51" s="123"/>
      <c r="AS51" s="123"/>
      <c r="AT51" s="123"/>
      <c r="AU51" s="135" t="s">
        <v>460</v>
      </c>
      <c r="AV51" s="80" t="str">
        <f>IF(LEN(AW51)&gt;0,VLOOKUP(AW51,'1. Lists'!$BQ:$BR,2,FALSE),"")</f>
        <v>ACC</v>
      </c>
      <c r="AW51" s="133" t="s">
        <v>14</v>
      </c>
      <c r="AX51" s="80">
        <f>IF(LEN(AY51)&gt;0,VLOOKUP(AY51,'1. Lists'!$BU$3:$BW$5,3,FALSE),"")</f>
        <v>3</v>
      </c>
      <c r="AY51" s="138" t="s">
        <v>83</v>
      </c>
      <c r="AZ51" s="139">
        <v>10</v>
      </c>
      <c r="BA51" s="82">
        <f t="shared" si="8"/>
        <v>10</v>
      </c>
      <c r="BC51" s="141">
        <v>1</v>
      </c>
      <c r="BD51" s="141">
        <v>1</v>
      </c>
      <c r="BE51" s="141">
        <v>1</v>
      </c>
      <c r="BF51" s="141">
        <v>1</v>
      </c>
      <c r="BG51" s="141">
        <v>1</v>
      </c>
      <c r="BH51" s="141">
        <v>0</v>
      </c>
      <c r="BI51" s="141">
        <v>0</v>
      </c>
      <c r="BJ51" s="141">
        <v>1</v>
      </c>
      <c r="BK51" s="141">
        <v>1</v>
      </c>
      <c r="BL51" s="141">
        <v>1</v>
      </c>
      <c r="BM51" s="141">
        <v>1</v>
      </c>
      <c r="BN51" s="141">
        <v>1</v>
      </c>
      <c r="BP51" s="66">
        <f t="shared" si="9"/>
        <v>1</v>
      </c>
      <c r="BQ51" s="66">
        <f t="shared" si="10"/>
        <v>10</v>
      </c>
      <c r="BR51" s="66">
        <f t="shared" si="11"/>
        <v>1</v>
      </c>
      <c r="BS51" s="66">
        <v>0</v>
      </c>
      <c r="BU51" s="66">
        <f t="shared" si="12"/>
        <v>1</v>
      </c>
      <c r="BV51" s="66">
        <f t="shared" si="13"/>
        <v>1</v>
      </c>
      <c r="BW51" s="66">
        <f t="shared" si="14"/>
        <v>1</v>
      </c>
    </row>
    <row r="52" spans="1:75" ht="75" x14ac:dyDescent="0.25">
      <c r="A52" s="174">
        <f t="shared" si="7"/>
        <v>49</v>
      </c>
      <c r="B52" s="66">
        <f>IF(LEN(D52)&gt;0,VLOOKUP(D52,'1. Lists'!$E$3:$J$52,6,FALSE),"")</f>
        <v>17</v>
      </c>
      <c r="C52" s="66" t="str">
        <f>IF(LEN(D52)&gt;0,VLOOKUP(D52,'1. Lists'!$E$3:$F$52,2,FALSE),"")</f>
        <v>Financial Services</v>
      </c>
      <c r="D52" s="120" t="s">
        <v>375</v>
      </c>
      <c r="E52" s="121"/>
      <c r="F52" s="65" t="str">
        <f>IF(E52&gt;0,VLOOKUP(E52,'2. Top Layer'!$A:$C,3,FALSE),"")</f>
        <v/>
      </c>
      <c r="G52" s="65" t="str">
        <f>IF(E52&gt;0,VLOOKUP(E52,'2. Top Layer'!$A:$T,17,FALSE),"")</f>
        <v/>
      </c>
      <c r="H52" s="66">
        <f>IF(LEN(I52)&gt;0,VLOOKUP(I52,'1. Lists'!$T:$U,2,FALSE),"")</f>
        <v>76</v>
      </c>
      <c r="I52" s="122" t="s">
        <v>656</v>
      </c>
      <c r="J52" s="123"/>
      <c r="K52" s="66">
        <f>IF(LEN(L52)&gt;0,VLOOKUP(L52,'1. Lists'!$AK:$AL,2,FALSE),"")</f>
        <v>9</v>
      </c>
      <c r="L52" s="124" t="s">
        <v>159</v>
      </c>
      <c r="M52" s="70">
        <f>IF(LEN(N52)&gt;0,VLOOKUP(N52,'1. Lists'!$AN:$AQ,4,FALSE),"")</f>
        <v>2</v>
      </c>
      <c r="N52" s="125" t="s">
        <v>382</v>
      </c>
      <c r="O52" s="66">
        <f>IF(LEN(P52)&gt;0,VLOOKUP(P52,'1. Lists'!$AA:$AC,3,FALSE),"")</f>
        <v>4</v>
      </c>
      <c r="P52" s="126" t="s">
        <v>41</v>
      </c>
      <c r="Q52" s="73">
        <f>IF(LEN(R52)&gt;0,VLOOKUP(R52,'1. Lists'!$W:$Y,3,FALSE),"")</f>
        <v>1</v>
      </c>
      <c r="R52" s="127" t="s">
        <v>169</v>
      </c>
      <c r="S52" s="73">
        <f>IF(LEN(T52)&gt;0,VLOOKUP(T52,'1. Lists'!$AH:$AI,2,FALSE),"")</f>
        <v>18</v>
      </c>
      <c r="T52" s="128" t="s">
        <v>403</v>
      </c>
      <c r="U52" s="76">
        <f>IF(LEN(V52)&gt;0,VLOOKUP(V52,'1. Lists'!$AE:$AF,2,FALSE),"")</f>
        <v>11</v>
      </c>
      <c r="V52" s="129" t="s">
        <v>355</v>
      </c>
      <c r="W52" s="130"/>
      <c r="X52" s="131" t="str">
        <f>IF(W52&gt;0,VLOOKUP($W52,'3. Capital'!$A:$J,4,FALSE),"")</f>
        <v/>
      </c>
      <c r="Y52" s="78" t="str">
        <f>IF(W52&gt;0,VLOOKUP($W52,'3. Capital'!$A:$J,10,FALSE),"")</f>
        <v/>
      </c>
      <c r="Z52" s="132" t="s">
        <v>522</v>
      </c>
      <c r="AA52" s="132" t="s">
        <v>523</v>
      </c>
      <c r="AB52" s="66">
        <f>IF(LEN(AC52)&gt;0,VLOOKUP(AC52,'1. Lists'!$AV$3:$AX$7,3,FALSE),"")</f>
        <v>2</v>
      </c>
      <c r="AC52" s="133" t="s">
        <v>13</v>
      </c>
      <c r="AD52" s="66">
        <f>IF(LEN(AE52)&gt;0,VLOOKUP(AE52,'1. Lists'!$AZ$3:$BB$7,3,FALSE),"")</f>
        <v>2</v>
      </c>
      <c r="AE52" s="122" t="s">
        <v>9</v>
      </c>
      <c r="AF52" s="123"/>
      <c r="AG52" s="123"/>
      <c r="AH52" s="66">
        <f>IF(LEN(AI52)&gt;0,VLOOKUP(AI52,'1. Lists'!$BD$3:$BF$15,3,FALSE),"")</f>
        <v>4</v>
      </c>
      <c r="AI52" s="127" t="s">
        <v>339</v>
      </c>
      <c r="AJ52" s="134" t="s">
        <v>68</v>
      </c>
      <c r="AK52" s="135" t="s">
        <v>461</v>
      </c>
      <c r="AL52" s="125" t="s">
        <v>423</v>
      </c>
      <c r="AM52" s="136">
        <v>12</v>
      </c>
      <c r="AN52" s="123"/>
      <c r="AO52" s="137" t="s">
        <v>601</v>
      </c>
      <c r="AP52" s="137" t="s">
        <v>837</v>
      </c>
      <c r="AQ52" s="123"/>
      <c r="AR52" s="123"/>
      <c r="AS52" s="123"/>
      <c r="AT52" s="123"/>
      <c r="AU52" s="135" t="s">
        <v>460</v>
      </c>
      <c r="AV52" s="80" t="str">
        <f>IF(LEN(AW52)&gt;0,VLOOKUP(AW52,'1. Lists'!$BQ:$BR,2,FALSE),"")</f>
        <v>ACC</v>
      </c>
      <c r="AW52" s="133" t="s">
        <v>14</v>
      </c>
      <c r="AX52" s="80">
        <f>IF(LEN(AY52)&gt;0,VLOOKUP(AY52,'1. Lists'!$BU$3:$BW$5,3,FALSE),"")</f>
        <v>3</v>
      </c>
      <c r="AY52" s="138" t="s">
        <v>83</v>
      </c>
      <c r="AZ52" s="139">
        <v>12</v>
      </c>
      <c r="BA52" s="82">
        <f t="shared" si="8"/>
        <v>12</v>
      </c>
      <c r="BC52" s="141">
        <v>1</v>
      </c>
      <c r="BD52" s="141">
        <v>1</v>
      </c>
      <c r="BE52" s="141">
        <v>1</v>
      </c>
      <c r="BF52" s="141">
        <v>1</v>
      </c>
      <c r="BG52" s="141">
        <v>1</v>
      </c>
      <c r="BH52" s="141">
        <v>1</v>
      </c>
      <c r="BI52" s="141">
        <v>1</v>
      </c>
      <c r="BJ52" s="141">
        <v>1</v>
      </c>
      <c r="BK52" s="141">
        <v>1</v>
      </c>
      <c r="BL52" s="141">
        <v>1</v>
      </c>
      <c r="BM52" s="141">
        <v>1</v>
      </c>
      <c r="BN52" s="141">
        <v>1</v>
      </c>
      <c r="BP52" s="66">
        <f t="shared" si="9"/>
        <v>1</v>
      </c>
      <c r="BQ52" s="66">
        <f t="shared" si="10"/>
        <v>12</v>
      </c>
      <c r="BR52" s="66">
        <f t="shared" si="11"/>
        <v>1</v>
      </c>
      <c r="BS52" s="66">
        <v>0</v>
      </c>
      <c r="BU52" s="66">
        <f t="shared" si="12"/>
        <v>1</v>
      </c>
      <c r="BV52" s="66">
        <f t="shared" si="13"/>
        <v>1</v>
      </c>
      <c r="BW52" s="66">
        <f t="shared" si="14"/>
        <v>1</v>
      </c>
    </row>
    <row r="53" spans="1:75" ht="75" x14ac:dyDescent="0.25">
      <c r="A53" s="174">
        <f t="shared" si="7"/>
        <v>50</v>
      </c>
      <c r="B53" s="66">
        <f>IF(LEN(D53)&gt;0,VLOOKUP(D53,'1. Lists'!$E$3:$J$52,6,FALSE),"")</f>
        <v>17</v>
      </c>
      <c r="C53" s="66" t="str">
        <f>IF(LEN(D53)&gt;0,VLOOKUP(D53,'1. Lists'!$E$3:$F$52,2,FALSE),"")</f>
        <v>Financial Services</v>
      </c>
      <c r="D53" s="120" t="s">
        <v>375</v>
      </c>
      <c r="E53" s="121"/>
      <c r="F53" s="65" t="str">
        <f>IF(E53&gt;0,VLOOKUP(E53,'2. Top Layer'!$A:$C,3,FALSE),"")</f>
        <v/>
      </c>
      <c r="G53" s="65" t="str">
        <f>IF(E53&gt;0,VLOOKUP(E53,'2. Top Layer'!$A:$T,17,FALSE),"")</f>
        <v/>
      </c>
      <c r="H53" s="66">
        <f>IF(LEN(I53)&gt;0,VLOOKUP(I53,'1. Lists'!$T:$U,2,FALSE),"")</f>
        <v>76</v>
      </c>
      <c r="I53" s="122" t="s">
        <v>656</v>
      </c>
      <c r="J53" s="123"/>
      <c r="K53" s="66">
        <f>IF(LEN(L53)&gt;0,VLOOKUP(L53,'1. Lists'!$AK:$AL,2,FALSE),"")</f>
        <v>9</v>
      </c>
      <c r="L53" s="124" t="s">
        <v>159</v>
      </c>
      <c r="M53" s="70">
        <f>IF(LEN(N53)&gt;0,VLOOKUP(N53,'1. Lists'!$AN:$AQ,4,FALSE),"")</f>
        <v>2</v>
      </c>
      <c r="N53" s="125" t="s">
        <v>382</v>
      </c>
      <c r="O53" s="66">
        <f>IF(LEN(P53)&gt;0,VLOOKUP(P53,'1. Lists'!$AA:$AC,3,FALSE),"")</f>
        <v>4</v>
      </c>
      <c r="P53" s="126" t="s">
        <v>41</v>
      </c>
      <c r="Q53" s="73">
        <f>IF(LEN(R53)&gt;0,VLOOKUP(R53,'1. Lists'!$W:$Y,3,FALSE),"")</f>
        <v>1</v>
      </c>
      <c r="R53" s="127" t="s">
        <v>169</v>
      </c>
      <c r="S53" s="73">
        <f>IF(LEN(T53)&gt;0,VLOOKUP(T53,'1. Lists'!$AH:$AI,2,FALSE),"")</f>
        <v>18</v>
      </c>
      <c r="T53" s="128" t="s">
        <v>403</v>
      </c>
      <c r="U53" s="76">
        <f>IF(LEN(V53)&gt;0,VLOOKUP(V53,'1. Lists'!$AE:$AF,2,FALSE),"")</f>
        <v>11</v>
      </c>
      <c r="V53" s="129" t="s">
        <v>355</v>
      </c>
      <c r="W53" s="130"/>
      <c r="X53" s="131" t="str">
        <f>IF(W53&gt;0,VLOOKUP($W53,'3. Capital'!$A:$J,4,FALSE),"")</f>
        <v/>
      </c>
      <c r="Y53" s="78" t="str">
        <f>IF(W53&gt;0,VLOOKUP($W53,'3. Capital'!$A:$J,10,FALSE),"")</f>
        <v/>
      </c>
      <c r="Z53" s="132" t="s">
        <v>524</v>
      </c>
      <c r="AA53" s="132" t="s">
        <v>525</v>
      </c>
      <c r="AB53" s="66">
        <f>IF(LEN(AC53)&gt;0,VLOOKUP(AC53,'1. Lists'!$AV$3:$AX$7,3,FALSE),"")</f>
        <v>2</v>
      </c>
      <c r="AC53" s="133" t="s">
        <v>13</v>
      </c>
      <c r="AD53" s="66">
        <f>IF(LEN(AE53)&gt;0,VLOOKUP(AE53,'1. Lists'!$AZ$3:$BB$7,3,FALSE),"")</f>
        <v>2</v>
      </c>
      <c r="AE53" s="122" t="s">
        <v>9</v>
      </c>
      <c r="AF53" s="123"/>
      <c r="AG53" s="123"/>
      <c r="AH53" s="66">
        <f>IF(LEN(AI53)&gt;0,VLOOKUP(AI53,'1. Lists'!$BD$3:$BF$15,3,FALSE),"")</f>
        <v>4</v>
      </c>
      <c r="AI53" s="127" t="s">
        <v>339</v>
      </c>
      <c r="AJ53" s="134" t="s">
        <v>68</v>
      </c>
      <c r="AK53" s="135" t="s">
        <v>461</v>
      </c>
      <c r="AL53" s="125" t="s">
        <v>423</v>
      </c>
      <c r="AM53" s="136">
        <v>4</v>
      </c>
      <c r="AN53" s="123"/>
      <c r="AO53" s="137" t="s">
        <v>565</v>
      </c>
      <c r="AP53" s="137" t="s">
        <v>838</v>
      </c>
      <c r="AQ53" s="123"/>
      <c r="AR53" s="123"/>
      <c r="AS53" s="123"/>
      <c r="AT53" s="123"/>
      <c r="AU53" s="135" t="s">
        <v>460</v>
      </c>
      <c r="AV53" s="80" t="str">
        <f>IF(LEN(AW53)&gt;0,VLOOKUP(AW53,'1. Lists'!$BQ:$BR,2,FALSE),"")</f>
        <v>ACC</v>
      </c>
      <c r="AW53" s="133" t="s">
        <v>14</v>
      </c>
      <c r="AX53" s="80">
        <f>IF(LEN(AY53)&gt;0,VLOOKUP(AY53,'1. Lists'!$BU$3:$BW$5,3,FALSE),"")</f>
        <v>3</v>
      </c>
      <c r="AY53" s="138" t="s">
        <v>83</v>
      </c>
      <c r="AZ53" s="139">
        <v>4</v>
      </c>
      <c r="BA53" s="82">
        <f t="shared" si="8"/>
        <v>4</v>
      </c>
      <c r="BC53" s="141">
        <v>0</v>
      </c>
      <c r="BD53" s="141">
        <v>0</v>
      </c>
      <c r="BE53" s="141">
        <v>1</v>
      </c>
      <c r="BF53" s="141">
        <v>0</v>
      </c>
      <c r="BG53" s="141">
        <v>0</v>
      </c>
      <c r="BH53" s="141">
        <v>1</v>
      </c>
      <c r="BI53" s="141">
        <v>0</v>
      </c>
      <c r="BJ53" s="141">
        <v>0</v>
      </c>
      <c r="BK53" s="141">
        <v>1</v>
      </c>
      <c r="BL53" s="141">
        <v>0</v>
      </c>
      <c r="BM53" s="141">
        <v>0</v>
      </c>
      <c r="BN53" s="141">
        <v>1</v>
      </c>
      <c r="BP53" s="66">
        <f t="shared" si="9"/>
        <v>1</v>
      </c>
      <c r="BQ53" s="66">
        <f t="shared" si="10"/>
        <v>4</v>
      </c>
      <c r="BR53" s="66">
        <f t="shared" si="11"/>
        <v>1</v>
      </c>
      <c r="BS53" s="66">
        <v>0</v>
      </c>
      <c r="BU53" s="66">
        <f t="shared" si="12"/>
        <v>1</v>
      </c>
      <c r="BV53" s="66">
        <f t="shared" si="13"/>
        <v>1</v>
      </c>
      <c r="BW53" s="66">
        <f t="shared" si="14"/>
        <v>1</v>
      </c>
    </row>
    <row r="54" spans="1:75" ht="75" x14ac:dyDescent="0.25">
      <c r="A54" s="174">
        <f t="shared" si="7"/>
        <v>51</v>
      </c>
      <c r="B54" s="66">
        <f>IF(LEN(D54)&gt;0,VLOOKUP(D54,'1. Lists'!$E$3:$J$52,6,FALSE),"")</f>
        <v>17</v>
      </c>
      <c r="C54" s="66" t="str">
        <f>IF(LEN(D54)&gt;0,VLOOKUP(D54,'1. Lists'!$E$3:$F$52,2,FALSE),"")</f>
        <v>Financial Services</v>
      </c>
      <c r="D54" s="120" t="s">
        <v>375</v>
      </c>
      <c r="E54" s="121"/>
      <c r="F54" s="65" t="str">
        <f>IF(E54&gt;0,VLOOKUP(E54,'2. Top Layer'!$A:$C,3,FALSE),"")</f>
        <v/>
      </c>
      <c r="G54" s="65" t="str">
        <f>IF(E54&gt;0,VLOOKUP(E54,'2. Top Layer'!$A:$T,17,FALSE),"")</f>
        <v/>
      </c>
      <c r="H54" s="66">
        <f>IF(LEN(I54)&gt;0,VLOOKUP(I54,'1. Lists'!$T:$U,2,FALSE),"")</f>
        <v>76</v>
      </c>
      <c r="I54" s="122" t="s">
        <v>656</v>
      </c>
      <c r="J54" s="123"/>
      <c r="K54" s="66">
        <f>IF(LEN(L54)&gt;0,VLOOKUP(L54,'1. Lists'!$AK:$AL,2,FALSE),"")</f>
        <v>9</v>
      </c>
      <c r="L54" s="124" t="s">
        <v>159</v>
      </c>
      <c r="M54" s="70">
        <f>IF(LEN(N54)&gt;0,VLOOKUP(N54,'1. Lists'!$AN:$AQ,4,FALSE),"")</f>
        <v>2</v>
      </c>
      <c r="N54" s="125" t="s">
        <v>382</v>
      </c>
      <c r="O54" s="66">
        <f>IF(LEN(P54)&gt;0,VLOOKUP(P54,'1. Lists'!$AA:$AC,3,FALSE),"")</f>
        <v>4</v>
      </c>
      <c r="P54" s="126" t="s">
        <v>41</v>
      </c>
      <c r="Q54" s="73">
        <f>IF(LEN(R54)&gt;0,VLOOKUP(R54,'1. Lists'!$W:$Y,3,FALSE),"")</f>
        <v>1</v>
      </c>
      <c r="R54" s="127" t="s">
        <v>169</v>
      </c>
      <c r="S54" s="73">
        <f>IF(LEN(T54)&gt;0,VLOOKUP(T54,'1. Lists'!$AH:$AI,2,FALSE),"")</f>
        <v>18</v>
      </c>
      <c r="T54" s="128" t="s">
        <v>403</v>
      </c>
      <c r="U54" s="76">
        <f>IF(LEN(V54)&gt;0,VLOOKUP(V54,'1. Lists'!$AE:$AF,2,FALSE),"")</f>
        <v>11</v>
      </c>
      <c r="V54" s="129" t="s">
        <v>355</v>
      </c>
      <c r="W54" s="130"/>
      <c r="X54" s="131" t="str">
        <f>IF(W54&gt;0,VLOOKUP($W54,'3. Capital'!$A:$J,4,FALSE),"")</f>
        <v/>
      </c>
      <c r="Y54" s="78" t="str">
        <f>IF(W54&gt;0,VLOOKUP($W54,'3. Capital'!$A:$J,10,FALSE),"")</f>
        <v/>
      </c>
      <c r="Z54" s="132" t="s">
        <v>526</v>
      </c>
      <c r="AA54" s="132" t="s">
        <v>527</v>
      </c>
      <c r="AB54" s="66">
        <f>IF(LEN(AC54)&gt;0,VLOOKUP(AC54,'1. Lists'!$AV$3:$AX$7,3,FALSE),"")</f>
        <v>2</v>
      </c>
      <c r="AC54" s="133" t="s">
        <v>13</v>
      </c>
      <c r="AD54" s="66">
        <f>IF(LEN(AE54)&gt;0,VLOOKUP(AE54,'1. Lists'!$AZ$3:$BB$7,3,FALSE),"")</f>
        <v>2</v>
      </c>
      <c r="AE54" s="122" t="s">
        <v>9</v>
      </c>
      <c r="AF54" s="123"/>
      <c r="AG54" s="123"/>
      <c r="AH54" s="66">
        <f>IF(LEN(AI54)&gt;0,VLOOKUP(AI54,'1. Lists'!$BD$3:$BF$15,3,FALSE),"")</f>
        <v>4</v>
      </c>
      <c r="AI54" s="127" t="s">
        <v>339</v>
      </c>
      <c r="AJ54" s="134" t="s">
        <v>68</v>
      </c>
      <c r="AK54" s="135" t="s">
        <v>461</v>
      </c>
      <c r="AL54" s="125" t="s">
        <v>423</v>
      </c>
      <c r="AM54" s="145">
        <v>1</v>
      </c>
      <c r="AN54" s="123"/>
      <c r="AO54" s="137" t="s">
        <v>628</v>
      </c>
      <c r="AP54" s="137" t="s">
        <v>629</v>
      </c>
      <c r="AQ54" s="123"/>
      <c r="AR54" s="123"/>
      <c r="AS54" s="123"/>
      <c r="AT54" s="123"/>
      <c r="AU54" s="135" t="s">
        <v>460</v>
      </c>
      <c r="AV54" s="80" t="str">
        <f>IF(LEN(AW54)&gt;0,VLOOKUP(AW54,'1. Lists'!$BQ:$BR,2,FALSE),"")</f>
        <v>STD</v>
      </c>
      <c r="AW54" s="133" t="s">
        <v>78</v>
      </c>
      <c r="AX54" s="80">
        <f>IF(LEN(AY54)&gt;0,VLOOKUP(AY54,'1. Lists'!$BU$3:$BW$5,3,FALSE),"")</f>
        <v>2</v>
      </c>
      <c r="AY54" s="138" t="s">
        <v>82</v>
      </c>
      <c r="AZ54" s="139">
        <v>100</v>
      </c>
      <c r="BA54" s="82">
        <f t="shared" si="8"/>
        <v>100</v>
      </c>
      <c r="BC54" s="141">
        <v>100</v>
      </c>
      <c r="BD54" s="141">
        <v>100</v>
      </c>
      <c r="BE54" s="141">
        <v>100</v>
      </c>
      <c r="BF54" s="141">
        <v>100</v>
      </c>
      <c r="BG54" s="141">
        <v>100</v>
      </c>
      <c r="BH54" s="141">
        <v>100</v>
      </c>
      <c r="BI54" s="141">
        <v>100</v>
      </c>
      <c r="BJ54" s="141">
        <v>100</v>
      </c>
      <c r="BK54" s="141">
        <v>100</v>
      </c>
      <c r="BL54" s="141">
        <v>100</v>
      </c>
      <c r="BM54" s="141">
        <v>100</v>
      </c>
      <c r="BN54" s="141">
        <v>100</v>
      </c>
      <c r="BP54" s="66">
        <f t="shared" si="9"/>
        <v>100</v>
      </c>
      <c r="BQ54" s="66">
        <f t="shared" si="10"/>
        <v>1200</v>
      </c>
      <c r="BR54" s="66">
        <f t="shared" si="11"/>
        <v>100</v>
      </c>
      <c r="BS54" s="66">
        <v>0</v>
      </c>
      <c r="BU54" s="66">
        <f t="shared" si="12"/>
        <v>100</v>
      </c>
      <c r="BV54" s="66">
        <f t="shared" si="13"/>
        <v>100</v>
      </c>
      <c r="BW54" s="66">
        <f t="shared" si="14"/>
        <v>100</v>
      </c>
    </row>
    <row r="55" spans="1:75" ht="75" x14ac:dyDescent="0.25">
      <c r="A55" s="174">
        <f t="shared" si="7"/>
        <v>52</v>
      </c>
      <c r="B55" s="66">
        <f>IF(LEN(D55)&gt;0,VLOOKUP(D55,'1. Lists'!$E$3:$J$52,6,FALSE),"")</f>
        <v>17</v>
      </c>
      <c r="C55" s="66" t="str">
        <f>IF(LEN(D55)&gt;0,VLOOKUP(D55,'1. Lists'!$E$3:$F$52,2,FALSE),"")</f>
        <v>Financial Services</v>
      </c>
      <c r="D55" s="120" t="s">
        <v>375</v>
      </c>
      <c r="E55" s="121"/>
      <c r="F55" s="65" t="str">
        <f>IF(E55&gt;0,VLOOKUP(E55,'2. Top Layer'!$A:$C,3,FALSE),"")</f>
        <v/>
      </c>
      <c r="G55" s="65" t="str">
        <f>IF(E55&gt;0,VLOOKUP(E55,'2. Top Layer'!$A:$T,17,FALSE),"")</f>
        <v/>
      </c>
      <c r="H55" s="66">
        <f>IF(LEN(I55)&gt;0,VLOOKUP(I55,'1. Lists'!$T:$U,2,FALSE),"")</f>
        <v>76</v>
      </c>
      <c r="I55" s="122" t="s">
        <v>656</v>
      </c>
      <c r="J55" s="123"/>
      <c r="K55" s="66">
        <f>IF(LEN(L55)&gt;0,VLOOKUP(L55,'1. Lists'!$AK:$AL,2,FALSE),"")</f>
        <v>9</v>
      </c>
      <c r="L55" s="124" t="s">
        <v>159</v>
      </c>
      <c r="M55" s="70">
        <f>IF(LEN(N55)&gt;0,VLOOKUP(N55,'1. Lists'!$AN:$AQ,4,FALSE),"")</f>
        <v>2</v>
      </c>
      <c r="N55" s="125" t="s">
        <v>382</v>
      </c>
      <c r="O55" s="66">
        <f>IF(LEN(P55)&gt;0,VLOOKUP(P55,'1. Lists'!$AA:$AC,3,FALSE),"")</f>
        <v>4</v>
      </c>
      <c r="P55" s="126" t="s">
        <v>41</v>
      </c>
      <c r="Q55" s="73">
        <f>IF(LEN(R55)&gt;0,VLOOKUP(R55,'1. Lists'!$W:$Y,3,FALSE),"")</f>
        <v>1</v>
      </c>
      <c r="R55" s="127" t="s">
        <v>169</v>
      </c>
      <c r="S55" s="73">
        <f>IF(LEN(T55)&gt;0,VLOOKUP(T55,'1. Lists'!$AH:$AI,2,FALSE),"")</f>
        <v>18</v>
      </c>
      <c r="T55" s="128" t="s">
        <v>403</v>
      </c>
      <c r="U55" s="76">
        <f>IF(LEN(V55)&gt;0,VLOOKUP(V55,'1. Lists'!$AE:$AF,2,FALSE),"")</f>
        <v>11</v>
      </c>
      <c r="V55" s="129" t="s">
        <v>355</v>
      </c>
      <c r="W55" s="130"/>
      <c r="X55" s="131" t="str">
        <f>IF(W55&gt;0,VLOOKUP($W55,'3. Capital'!$A:$J,4,FALSE),"")</f>
        <v/>
      </c>
      <c r="Y55" s="78" t="str">
        <f>IF(W55&gt;0,VLOOKUP($W55,'3. Capital'!$A:$J,10,FALSE),"")</f>
        <v/>
      </c>
      <c r="Z55" s="132" t="s">
        <v>528</v>
      </c>
      <c r="AA55" s="132" t="s">
        <v>529</v>
      </c>
      <c r="AB55" s="66">
        <f>IF(LEN(AC55)&gt;0,VLOOKUP(AC55,'1. Lists'!$AV$3:$AX$7,3,FALSE),"")</f>
        <v>2</v>
      </c>
      <c r="AC55" s="133" t="s">
        <v>13</v>
      </c>
      <c r="AD55" s="66">
        <f>IF(LEN(AE55)&gt;0,VLOOKUP(AE55,'1. Lists'!$AZ$3:$BB$7,3,FALSE),"")</f>
        <v>2</v>
      </c>
      <c r="AE55" s="122" t="s">
        <v>9</v>
      </c>
      <c r="AF55" s="123"/>
      <c r="AG55" s="123"/>
      <c r="AH55" s="66">
        <f>IF(LEN(AI55)&gt;0,VLOOKUP(AI55,'1. Lists'!$BD$3:$BF$15,3,FALSE),"")</f>
        <v>4</v>
      </c>
      <c r="AI55" s="127" t="s">
        <v>339</v>
      </c>
      <c r="AJ55" s="134" t="s">
        <v>68</v>
      </c>
      <c r="AK55" s="135" t="s">
        <v>461</v>
      </c>
      <c r="AL55" s="125" t="s">
        <v>423</v>
      </c>
      <c r="AM55" s="145">
        <v>1</v>
      </c>
      <c r="AN55" s="123"/>
      <c r="AO55" s="137" t="s">
        <v>630</v>
      </c>
      <c r="AP55" s="137" t="s">
        <v>631</v>
      </c>
      <c r="AQ55" s="123"/>
      <c r="AR55" s="123"/>
      <c r="AS55" s="123"/>
      <c r="AT55" s="123"/>
      <c r="AU55" s="135" t="s">
        <v>460</v>
      </c>
      <c r="AV55" s="80" t="str">
        <f>IF(LEN(AW55)&gt;0,VLOOKUP(AW55,'1. Lists'!$BQ:$BR,2,FALSE),"")</f>
        <v>STD</v>
      </c>
      <c r="AW55" s="133" t="s">
        <v>78</v>
      </c>
      <c r="AX55" s="80">
        <f>IF(LEN(AY55)&gt;0,VLOOKUP(AY55,'1. Lists'!$BU$3:$BW$5,3,FALSE),"")</f>
        <v>2</v>
      </c>
      <c r="AY55" s="138" t="s">
        <v>82</v>
      </c>
      <c r="AZ55" s="139">
        <v>100</v>
      </c>
      <c r="BA55" s="82">
        <f t="shared" si="8"/>
        <v>100</v>
      </c>
      <c r="BC55" s="141">
        <v>100</v>
      </c>
      <c r="BD55" s="141">
        <v>100</v>
      </c>
      <c r="BE55" s="141">
        <v>100</v>
      </c>
      <c r="BF55" s="141">
        <v>100</v>
      </c>
      <c r="BG55" s="141">
        <v>100</v>
      </c>
      <c r="BH55" s="141">
        <v>100</v>
      </c>
      <c r="BI55" s="141">
        <v>100</v>
      </c>
      <c r="BJ55" s="141">
        <v>100</v>
      </c>
      <c r="BK55" s="141">
        <v>100</v>
      </c>
      <c r="BL55" s="141">
        <v>100</v>
      </c>
      <c r="BM55" s="141">
        <v>100</v>
      </c>
      <c r="BN55" s="141">
        <v>100</v>
      </c>
      <c r="BP55" s="66">
        <f t="shared" si="9"/>
        <v>100</v>
      </c>
      <c r="BQ55" s="66">
        <f t="shared" si="10"/>
        <v>1200</v>
      </c>
      <c r="BR55" s="66">
        <f t="shared" si="11"/>
        <v>100</v>
      </c>
      <c r="BS55" s="66">
        <v>0</v>
      </c>
      <c r="BU55" s="66">
        <f t="shared" si="12"/>
        <v>100</v>
      </c>
      <c r="BV55" s="66">
        <f t="shared" si="13"/>
        <v>100</v>
      </c>
      <c r="BW55" s="66">
        <f t="shared" si="14"/>
        <v>100</v>
      </c>
    </row>
    <row r="56" spans="1:75" ht="75" x14ac:dyDescent="0.25">
      <c r="A56" s="174">
        <f t="shared" si="7"/>
        <v>53</v>
      </c>
      <c r="B56" s="66">
        <f>IF(LEN(D56)&gt;0,VLOOKUP(D56,'1. Lists'!$E$3:$J$52,6,FALSE),"")</f>
        <v>17</v>
      </c>
      <c r="C56" s="66" t="str">
        <f>IF(LEN(D56)&gt;0,VLOOKUP(D56,'1. Lists'!$E$3:$F$52,2,FALSE),"")</f>
        <v>Financial Services</v>
      </c>
      <c r="D56" s="120" t="s">
        <v>375</v>
      </c>
      <c r="E56" s="121"/>
      <c r="F56" s="65" t="str">
        <f>IF(E56&gt;0,VLOOKUP(E56,'2. Top Layer'!$A:$C,3,FALSE),"")</f>
        <v/>
      </c>
      <c r="G56" s="65" t="str">
        <f>IF(E56&gt;0,VLOOKUP(E56,'2. Top Layer'!$A:$T,17,FALSE),"")</f>
        <v/>
      </c>
      <c r="H56" s="66">
        <f>IF(LEN(I56)&gt;0,VLOOKUP(I56,'1. Lists'!$T:$U,2,FALSE),"")</f>
        <v>76</v>
      </c>
      <c r="I56" s="122" t="s">
        <v>656</v>
      </c>
      <c r="J56" s="123"/>
      <c r="K56" s="66">
        <f>IF(LEN(L56)&gt;0,VLOOKUP(L56,'1. Lists'!$AK:$AL,2,FALSE),"")</f>
        <v>9</v>
      </c>
      <c r="L56" s="124" t="s">
        <v>159</v>
      </c>
      <c r="M56" s="70">
        <f>IF(LEN(N56)&gt;0,VLOOKUP(N56,'1. Lists'!$AN:$AQ,4,FALSE),"")</f>
        <v>2</v>
      </c>
      <c r="N56" s="125" t="s">
        <v>382</v>
      </c>
      <c r="O56" s="66">
        <f>IF(LEN(P56)&gt;0,VLOOKUP(P56,'1. Lists'!$AA:$AC,3,FALSE),"")</f>
        <v>4</v>
      </c>
      <c r="P56" s="126" t="s">
        <v>41</v>
      </c>
      <c r="Q56" s="73">
        <f>IF(LEN(R56)&gt;0,VLOOKUP(R56,'1. Lists'!$W:$Y,3,FALSE),"")</f>
        <v>1</v>
      </c>
      <c r="R56" s="127" t="s">
        <v>169</v>
      </c>
      <c r="S56" s="73">
        <f>IF(LEN(T56)&gt;0,VLOOKUP(T56,'1. Lists'!$AH:$AI,2,FALSE),"")</f>
        <v>18</v>
      </c>
      <c r="T56" s="128" t="s">
        <v>403</v>
      </c>
      <c r="U56" s="76">
        <f>IF(LEN(V56)&gt;0,VLOOKUP(V56,'1. Lists'!$AE:$AF,2,FALSE),"")</f>
        <v>11</v>
      </c>
      <c r="V56" s="129" t="s">
        <v>355</v>
      </c>
      <c r="W56" s="130"/>
      <c r="X56" s="131" t="str">
        <f>IF(W56&gt;0,VLOOKUP($W56,'3. Capital'!$A:$J,4,FALSE),"")</f>
        <v/>
      </c>
      <c r="Y56" s="78" t="str">
        <f>IF(W56&gt;0,VLOOKUP($W56,'3. Capital'!$A:$J,10,FALSE),"")</f>
        <v/>
      </c>
      <c r="Z56" s="132" t="s">
        <v>530</v>
      </c>
      <c r="AA56" s="132" t="s">
        <v>531</v>
      </c>
      <c r="AB56" s="66">
        <f>IF(LEN(AC56)&gt;0,VLOOKUP(AC56,'1. Lists'!$AV$3:$AX$7,3,FALSE),"")</f>
        <v>3</v>
      </c>
      <c r="AC56" s="133" t="s">
        <v>4</v>
      </c>
      <c r="AD56" s="66">
        <f>IF(LEN(AE56)&gt;0,VLOOKUP(AE56,'1. Lists'!$AZ$3:$BB$7,3,FALSE),"")</f>
        <v>2</v>
      </c>
      <c r="AE56" s="122" t="s">
        <v>9</v>
      </c>
      <c r="AF56" s="123"/>
      <c r="AG56" s="123"/>
      <c r="AH56" s="66">
        <f>IF(LEN(AI56)&gt;0,VLOOKUP(AI56,'1. Lists'!$BD$3:$BF$15,3,FALSE),"")</f>
        <v>1</v>
      </c>
      <c r="AI56" s="127" t="s">
        <v>336</v>
      </c>
      <c r="AJ56" s="134" t="s">
        <v>68</v>
      </c>
      <c r="AK56" s="135" t="s">
        <v>461</v>
      </c>
      <c r="AL56" s="125" t="s">
        <v>423</v>
      </c>
      <c r="AM56" s="145">
        <v>0.2</v>
      </c>
      <c r="AN56" s="123"/>
      <c r="AO56" s="137" t="s">
        <v>632</v>
      </c>
      <c r="AP56" s="137" t="s">
        <v>839</v>
      </c>
      <c r="AQ56" s="123"/>
      <c r="AR56" s="123"/>
      <c r="AS56" s="123"/>
      <c r="AT56" s="123"/>
      <c r="AU56" s="135" t="s">
        <v>460</v>
      </c>
      <c r="AV56" s="80" t="str">
        <f>IF(LEN(AW56)&gt;0,VLOOKUP(AW56,'1. Lists'!$BQ:$BR,2,FALSE),"")</f>
        <v>CO</v>
      </c>
      <c r="AW56" s="133" t="s">
        <v>12</v>
      </c>
      <c r="AX56" s="80">
        <f>IF(LEN(AY56)&gt;0,VLOOKUP(AY56,'1. Lists'!$BU$3:$BW$5,3,FALSE),"")</f>
        <v>2</v>
      </c>
      <c r="AY56" s="138" t="s">
        <v>82</v>
      </c>
      <c r="AZ56" s="139">
        <v>20</v>
      </c>
      <c r="BA56" s="82">
        <f t="shared" si="8"/>
        <v>20</v>
      </c>
      <c r="BC56" s="141">
        <v>0</v>
      </c>
      <c r="BD56" s="141">
        <v>0</v>
      </c>
      <c r="BE56" s="141">
        <v>0</v>
      </c>
      <c r="BF56" s="141">
        <v>0</v>
      </c>
      <c r="BG56" s="141">
        <v>0</v>
      </c>
      <c r="BH56" s="141">
        <v>0</v>
      </c>
      <c r="BI56" s="141">
        <v>0</v>
      </c>
      <c r="BJ56" s="141">
        <v>0</v>
      </c>
      <c r="BK56" s="141">
        <v>0</v>
      </c>
      <c r="BL56" s="141">
        <v>0</v>
      </c>
      <c r="BM56" s="141">
        <v>0</v>
      </c>
      <c r="BN56" s="141">
        <v>20</v>
      </c>
      <c r="BP56" s="66">
        <f t="shared" si="9"/>
        <v>20</v>
      </c>
      <c r="BQ56" s="66">
        <f t="shared" si="10"/>
        <v>20</v>
      </c>
      <c r="BR56" s="66">
        <f t="shared" si="11"/>
        <v>20</v>
      </c>
      <c r="BS56" s="66">
        <v>0</v>
      </c>
      <c r="BU56" s="66">
        <f t="shared" si="12"/>
        <v>20</v>
      </c>
      <c r="BV56" s="66">
        <f t="shared" si="13"/>
        <v>20</v>
      </c>
      <c r="BW56" s="66">
        <f t="shared" si="14"/>
        <v>20</v>
      </c>
    </row>
    <row r="57" spans="1:75" ht="75" x14ac:dyDescent="0.25">
      <c r="A57" s="174">
        <f t="shared" si="7"/>
        <v>54</v>
      </c>
      <c r="B57" s="66">
        <f>IF(LEN(D57)&gt;0,VLOOKUP(D57,'1. Lists'!$E$3:$J$52,6,FALSE),"")</f>
        <v>17</v>
      </c>
      <c r="C57" s="66" t="str">
        <f>IF(LEN(D57)&gt;0,VLOOKUP(D57,'1. Lists'!$E$3:$F$52,2,FALSE),"")</f>
        <v>Financial Services</v>
      </c>
      <c r="D57" s="120" t="s">
        <v>375</v>
      </c>
      <c r="E57" s="121"/>
      <c r="F57" s="65" t="str">
        <f>IF(E57&gt;0,VLOOKUP(E57,'2. Top Layer'!$A:$C,3,FALSE),"")</f>
        <v/>
      </c>
      <c r="G57" s="65" t="str">
        <f>IF(E57&gt;0,VLOOKUP(E57,'2. Top Layer'!$A:$T,17,FALSE),"")</f>
        <v/>
      </c>
      <c r="H57" s="66">
        <f>IF(LEN(I57)&gt;0,VLOOKUP(I57,'1. Lists'!$T:$U,2,FALSE),"")</f>
        <v>76</v>
      </c>
      <c r="I57" s="122" t="s">
        <v>656</v>
      </c>
      <c r="J57" s="123"/>
      <c r="K57" s="66">
        <f>IF(LEN(L57)&gt;0,VLOOKUP(L57,'1. Lists'!$AK:$AL,2,FALSE),"")</f>
        <v>9</v>
      </c>
      <c r="L57" s="124" t="s">
        <v>159</v>
      </c>
      <c r="M57" s="70">
        <f>IF(LEN(N57)&gt;0,VLOOKUP(N57,'1. Lists'!$AN:$AQ,4,FALSE),"")</f>
        <v>2</v>
      </c>
      <c r="N57" s="125" t="s">
        <v>382</v>
      </c>
      <c r="O57" s="66">
        <f>IF(LEN(P57)&gt;0,VLOOKUP(P57,'1. Lists'!$AA:$AC,3,FALSE),"")</f>
        <v>4</v>
      </c>
      <c r="P57" s="126" t="s">
        <v>41</v>
      </c>
      <c r="Q57" s="73">
        <f>IF(LEN(R57)&gt;0,VLOOKUP(R57,'1. Lists'!$W:$Y,3,FALSE),"")</f>
        <v>1</v>
      </c>
      <c r="R57" s="127" t="s">
        <v>169</v>
      </c>
      <c r="S57" s="73">
        <f>IF(LEN(T57)&gt;0,VLOOKUP(T57,'1. Lists'!$AH:$AI,2,FALSE),"")</f>
        <v>18</v>
      </c>
      <c r="T57" s="128" t="s">
        <v>403</v>
      </c>
      <c r="U57" s="76">
        <f>IF(LEN(V57)&gt;0,VLOOKUP(V57,'1. Lists'!$AE:$AF,2,FALSE),"")</f>
        <v>11</v>
      </c>
      <c r="V57" s="129" t="s">
        <v>355</v>
      </c>
      <c r="W57" s="130"/>
      <c r="X57" s="131" t="str">
        <f>IF(W57&gt;0,VLOOKUP($W57,'3. Capital'!$A:$J,4,FALSE),"")</f>
        <v/>
      </c>
      <c r="Y57" s="78" t="str">
        <f>IF(W57&gt;0,VLOOKUP($W57,'3. Capital'!$A:$J,10,FALSE),"")</f>
        <v/>
      </c>
      <c r="Z57" s="132" t="s">
        <v>465</v>
      </c>
      <c r="AA57" s="132" t="s">
        <v>466</v>
      </c>
      <c r="AB57" s="66">
        <f>IF(LEN(AC57)&gt;0,VLOOKUP(AC57,'1. Lists'!$AV$3:$AX$7,3,FALSE),"")</f>
        <v>3</v>
      </c>
      <c r="AC57" s="133" t="s">
        <v>4</v>
      </c>
      <c r="AD57" s="66">
        <f>IF(LEN(AE57)&gt;0,VLOOKUP(AE57,'1. Lists'!$AZ$3:$BB$7,3,FALSE),"")</f>
        <v>2</v>
      </c>
      <c r="AE57" s="122" t="s">
        <v>9</v>
      </c>
      <c r="AF57" s="123"/>
      <c r="AG57" s="123"/>
      <c r="AH57" s="66">
        <f>IF(LEN(AI57)&gt;0,VLOOKUP(AI57,'1. Lists'!$BD$3:$BF$15,3,FALSE),"")</f>
        <v>5</v>
      </c>
      <c r="AI57" s="127" t="s">
        <v>340</v>
      </c>
      <c r="AJ57" s="134" t="s">
        <v>68</v>
      </c>
      <c r="AK57" s="135" t="s">
        <v>461</v>
      </c>
      <c r="AL57" s="125" t="s">
        <v>423</v>
      </c>
      <c r="AM57" s="145">
        <v>1</v>
      </c>
      <c r="AN57" s="123"/>
      <c r="AO57" s="137" t="s">
        <v>622</v>
      </c>
      <c r="AP57" s="137" t="s">
        <v>623</v>
      </c>
      <c r="AQ57" s="123"/>
      <c r="AR57" s="123"/>
      <c r="AS57" s="123"/>
      <c r="AT57" s="123"/>
      <c r="AU57" s="135" t="s">
        <v>460</v>
      </c>
      <c r="AV57" s="80" t="str">
        <f>IF(LEN(AW57)&gt;0,VLOOKUP(AW57,'1. Lists'!$BQ:$BR,2,FALSE),"")</f>
        <v>STD</v>
      </c>
      <c r="AW57" s="133" t="s">
        <v>78</v>
      </c>
      <c r="AX57" s="80">
        <f>IF(LEN(AY57)&gt;0,VLOOKUP(AY57,'1. Lists'!$BU$3:$BW$5,3,FALSE),"")</f>
        <v>2</v>
      </c>
      <c r="AY57" s="138" t="s">
        <v>82</v>
      </c>
      <c r="AZ57" s="139">
        <v>100</v>
      </c>
      <c r="BA57" s="82">
        <f t="shared" si="8"/>
        <v>100</v>
      </c>
      <c r="BC57" s="141">
        <v>100</v>
      </c>
      <c r="BD57" s="141">
        <v>100</v>
      </c>
      <c r="BE57" s="141">
        <v>100</v>
      </c>
      <c r="BF57" s="141">
        <v>100</v>
      </c>
      <c r="BG57" s="141">
        <v>100</v>
      </c>
      <c r="BH57" s="141">
        <v>100</v>
      </c>
      <c r="BI57" s="141">
        <v>100</v>
      </c>
      <c r="BJ57" s="141">
        <v>100</v>
      </c>
      <c r="BK57" s="141">
        <v>100</v>
      </c>
      <c r="BL57" s="141">
        <v>100</v>
      </c>
      <c r="BM57" s="141">
        <v>100</v>
      </c>
      <c r="BN57" s="141">
        <v>100</v>
      </c>
      <c r="BP57" s="66">
        <f t="shared" si="9"/>
        <v>100</v>
      </c>
      <c r="BQ57" s="66">
        <f t="shared" si="10"/>
        <v>1200</v>
      </c>
      <c r="BR57" s="66">
        <f t="shared" si="11"/>
        <v>100</v>
      </c>
      <c r="BS57" s="66">
        <v>0</v>
      </c>
      <c r="BU57" s="66">
        <f t="shared" si="12"/>
        <v>100</v>
      </c>
      <c r="BV57" s="66">
        <f t="shared" si="13"/>
        <v>100</v>
      </c>
      <c r="BW57" s="66">
        <f t="shared" si="14"/>
        <v>100</v>
      </c>
    </row>
    <row r="58" spans="1:75" ht="75" x14ac:dyDescent="0.25">
      <c r="A58" s="174">
        <f t="shared" si="7"/>
        <v>55</v>
      </c>
      <c r="B58" s="66">
        <f>IF(LEN(D58)&gt;0,VLOOKUP(D58,'1. Lists'!$E$3:$J$52,6,FALSE),"")</f>
        <v>17</v>
      </c>
      <c r="C58" s="66" t="str">
        <f>IF(LEN(D58)&gt;0,VLOOKUP(D58,'1. Lists'!$E$3:$F$52,2,FALSE),"")</f>
        <v>Financial Services</v>
      </c>
      <c r="D58" s="120" t="s">
        <v>375</v>
      </c>
      <c r="E58" s="121"/>
      <c r="F58" s="65" t="str">
        <f>IF(E58&gt;0,VLOOKUP(E58,'2. Top Layer'!$A:$C,3,FALSE),"")</f>
        <v/>
      </c>
      <c r="G58" s="65" t="str">
        <f>IF(E58&gt;0,VLOOKUP(E58,'2. Top Layer'!$A:$T,17,FALSE),"")</f>
        <v/>
      </c>
      <c r="H58" s="66">
        <f>IF(LEN(I58)&gt;0,VLOOKUP(I58,'1. Lists'!$T:$U,2,FALSE),"")</f>
        <v>64</v>
      </c>
      <c r="I58" s="122" t="s">
        <v>435</v>
      </c>
      <c r="J58" s="123"/>
      <c r="K58" s="66">
        <f>IF(LEN(L58)&gt;0,VLOOKUP(L58,'1. Lists'!$AK:$AL,2,FALSE),"")</f>
        <v>9</v>
      </c>
      <c r="L58" s="124" t="s">
        <v>159</v>
      </c>
      <c r="M58" s="70">
        <f>IF(LEN(N58)&gt;0,VLOOKUP(N58,'1. Lists'!$AN:$AQ,4,FALSE),"")</f>
        <v>2</v>
      </c>
      <c r="N58" s="125" t="s">
        <v>382</v>
      </c>
      <c r="O58" s="66">
        <f>IF(LEN(P58)&gt;0,VLOOKUP(P58,'1. Lists'!$AA:$AC,3,FALSE),"")</f>
        <v>5</v>
      </c>
      <c r="P58" s="134" t="s">
        <v>42</v>
      </c>
      <c r="Q58" s="73">
        <f>IF(LEN(R58)&gt;0,VLOOKUP(R58,'1. Lists'!$W:$Y,3,FALSE),"")</f>
        <v>1</v>
      </c>
      <c r="R58" s="127" t="s">
        <v>169</v>
      </c>
      <c r="S58" s="73">
        <f>IF(LEN(T58)&gt;0,VLOOKUP(T58,'1. Lists'!$AH:$AI,2,FALSE),"")</f>
        <v>11</v>
      </c>
      <c r="T58" s="128" t="s">
        <v>396</v>
      </c>
      <c r="U58" s="76">
        <f>IF(LEN(V58)&gt;0,VLOOKUP(V58,'1. Lists'!$AE:$AF,2,FALSE),"")</f>
        <v>11</v>
      </c>
      <c r="V58" s="129" t="s">
        <v>355</v>
      </c>
      <c r="W58" s="130"/>
      <c r="X58" s="131" t="str">
        <f>IF(W58&gt;0,VLOOKUP($W58,#REF!,4,FALSE),"")</f>
        <v/>
      </c>
      <c r="Y58" s="78" t="str">
        <f>IF(W58&gt;0,VLOOKUP($W58,#REF!,10,FALSE),"")</f>
        <v/>
      </c>
      <c r="Z58" s="132" t="s">
        <v>791</v>
      </c>
      <c r="AA58" s="132" t="s">
        <v>468</v>
      </c>
      <c r="AB58" s="66">
        <f>IF(LEN(AC58)&gt;0,VLOOKUP(AC58,'1. Lists'!$AV$3:$AX$7,3,FALSE),"")</f>
        <v>2</v>
      </c>
      <c r="AC58" s="133" t="s">
        <v>13</v>
      </c>
      <c r="AD58" s="66">
        <f>IF(LEN(AE58)&gt;0,VLOOKUP(AE58,'1. Lists'!$AZ$3:$BB$7,3,FALSE),"")</f>
        <v>2</v>
      </c>
      <c r="AE58" s="122" t="s">
        <v>9</v>
      </c>
      <c r="AF58" s="123"/>
      <c r="AG58" s="123"/>
      <c r="AH58" s="66">
        <f>IF(LEN(AI58)&gt;0,VLOOKUP(AI58,'1. Lists'!$BD$3:$BF$15,3,FALSE),"")</f>
        <v>5</v>
      </c>
      <c r="AI58" s="127" t="s">
        <v>340</v>
      </c>
      <c r="AJ58" s="134" t="s">
        <v>68</v>
      </c>
      <c r="AK58" s="135" t="s">
        <v>461</v>
      </c>
      <c r="AL58" s="125" t="s">
        <v>423</v>
      </c>
      <c r="AM58" s="136">
        <v>10</v>
      </c>
      <c r="AN58" s="123"/>
      <c r="AO58" s="136" t="s">
        <v>601</v>
      </c>
      <c r="AP58" s="137" t="s">
        <v>790</v>
      </c>
      <c r="AQ58" s="123"/>
      <c r="AR58" s="123"/>
      <c r="AS58" s="123"/>
      <c r="AT58" s="123"/>
      <c r="AU58" s="135" t="s">
        <v>460</v>
      </c>
      <c r="AV58" s="80" t="str">
        <f>IF(LEN(AW58)&gt;0,VLOOKUP(AW58,'1. Lists'!$BQ:$BR,2,FALSE),"")</f>
        <v>ACC</v>
      </c>
      <c r="AW58" s="120" t="s">
        <v>14</v>
      </c>
      <c r="AX58" s="80">
        <f>IF(LEN(AY58)&gt;0,VLOOKUP(AY58,'1. Lists'!$BU$3:$BW$5,3,FALSE),"")</f>
        <v>3</v>
      </c>
      <c r="AY58" s="138" t="s">
        <v>83</v>
      </c>
      <c r="AZ58" s="139">
        <v>12</v>
      </c>
      <c r="BA58" s="82">
        <f t="shared" si="8"/>
        <v>12</v>
      </c>
      <c r="BC58" s="141">
        <v>1</v>
      </c>
      <c r="BD58" s="141">
        <v>1</v>
      </c>
      <c r="BE58" s="141">
        <v>1</v>
      </c>
      <c r="BF58" s="141">
        <v>1</v>
      </c>
      <c r="BG58" s="141">
        <v>1</v>
      </c>
      <c r="BH58" s="141">
        <v>1</v>
      </c>
      <c r="BI58" s="141">
        <v>1</v>
      </c>
      <c r="BJ58" s="141">
        <v>1</v>
      </c>
      <c r="BK58" s="141">
        <v>1</v>
      </c>
      <c r="BL58" s="141">
        <v>1</v>
      </c>
      <c r="BM58" s="141">
        <v>1</v>
      </c>
      <c r="BN58" s="141">
        <v>1</v>
      </c>
      <c r="BP58" s="66">
        <f t="shared" si="9"/>
        <v>1</v>
      </c>
      <c r="BQ58" s="66">
        <f t="shared" si="10"/>
        <v>12</v>
      </c>
      <c r="BR58" s="66">
        <f t="shared" si="11"/>
        <v>1</v>
      </c>
      <c r="BS58" s="66">
        <v>0</v>
      </c>
      <c r="BU58" s="66">
        <f t="shared" si="12"/>
        <v>1</v>
      </c>
      <c r="BV58" s="66">
        <f t="shared" si="13"/>
        <v>1</v>
      </c>
      <c r="BW58" s="66">
        <f t="shared" si="14"/>
        <v>1</v>
      </c>
    </row>
    <row r="59" spans="1:75" ht="75" x14ac:dyDescent="0.25">
      <c r="A59" s="174">
        <f t="shared" si="7"/>
        <v>56</v>
      </c>
      <c r="B59" s="66">
        <f>IF(LEN(D59)&gt;0,VLOOKUP(D59,'1. Lists'!$E$3:$J$52,6,FALSE),"")</f>
        <v>17</v>
      </c>
      <c r="C59" s="66" t="str">
        <f>IF(LEN(D59)&gt;0,VLOOKUP(D59,'1. Lists'!$E$3:$F$52,2,FALSE),"")</f>
        <v>Financial Services</v>
      </c>
      <c r="D59" s="120" t="s">
        <v>375</v>
      </c>
      <c r="E59" s="121"/>
      <c r="F59" s="65"/>
      <c r="H59" s="66">
        <f>IF(LEN(I59)&gt;0,VLOOKUP(I59,'1. Lists'!$T:$U,2,FALSE),"")</f>
        <v>67</v>
      </c>
      <c r="I59" s="122" t="s">
        <v>437</v>
      </c>
      <c r="J59" s="123"/>
      <c r="K59" s="66">
        <f>IF(LEN(L59)&gt;0,VLOOKUP(L59,'1. Lists'!$AK:$AL,2,FALSE),"")</f>
        <v>9</v>
      </c>
      <c r="L59" s="124" t="s">
        <v>159</v>
      </c>
      <c r="M59" s="70">
        <f>IF(LEN(N59)&gt;0,VLOOKUP(N59,'1. Lists'!$AN:$AQ,4,FALSE),"")</f>
        <v>2</v>
      </c>
      <c r="N59" s="125" t="s">
        <v>382</v>
      </c>
      <c r="O59" s="66">
        <f>IF(LEN(P59)&gt;0,VLOOKUP(P59,'1. Lists'!$AA:$AC,3,FALSE),"")</f>
        <v>4</v>
      </c>
      <c r="P59" s="134" t="s">
        <v>41</v>
      </c>
      <c r="Q59" s="73">
        <f>IF(LEN(R59)&gt;0,VLOOKUP(R59,'1. Lists'!$W:$Y,3,FALSE),"")</f>
        <v>1</v>
      </c>
      <c r="R59" s="127" t="s">
        <v>169</v>
      </c>
      <c r="S59" s="73">
        <f>IF(LEN(T59)&gt;0,VLOOKUP(T59,'1. Lists'!$AH:$AI,2,FALSE),"")</f>
        <v>11</v>
      </c>
      <c r="T59" s="128" t="s">
        <v>396</v>
      </c>
      <c r="U59" s="76">
        <f>IF(LEN(V59)&gt;0,VLOOKUP(V59,'1. Lists'!$AE:$AF,2,FALSE),"")</f>
        <v>11</v>
      </c>
      <c r="V59" s="129" t="s">
        <v>355</v>
      </c>
      <c r="W59" s="130"/>
      <c r="X59" s="131"/>
      <c r="Z59" s="132" t="s">
        <v>792</v>
      </c>
      <c r="AA59" s="132" t="s">
        <v>739</v>
      </c>
      <c r="AB59" s="66">
        <f>IF(LEN(AC59)&gt;0,VLOOKUP(AC59,'1. Lists'!$AV$3:$AX$7,3,FALSE),"")</f>
        <v>2</v>
      </c>
      <c r="AC59" s="133" t="s">
        <v>13</v>
      </c>
      <c r="AD59" s="66">
        <f>IF(LEN(AE59)&gt;0,VLOOKUP(AE59,'1. Lists'!$AZ$3:$BB$7,3,FALSE),"")</f>
        <v>2</v>
      </c>
      <c r="AE59" s="122" t="s">
        <v>9</v>
      </c>
      <c r="AF59" s="123"/>
      <c r="AG59" s="123"/>
      <c r="AH59" s="66">
        <f>IF(LEN(AI59)&gt;0,VLOOKUP(AI59,'1. Lists'!$BD$3:$BF$15,3,FALSE),"")</f>
        <v>5</v>
      </c>
      <c r="AI59" s="127" t="s">
        <v>340</v>
      </c>
      <c r="AJ59" s="134" t="s">
        <v>68</v>
      </c>
      <c r="AK59" s="135" t="s">
        <v>461</v>
      </c>
      <c r="AL59" s="125" t="s">
        <v>423</v>
      </c>
      <c r="AM59" s="145" t="s">
        <v>762</v>
      </c>
      <c r="AN59" s="123"/>
      <c r="AO59" s="136" t="s">
        <v>565</v>
      </c>
      <c r="AP59" s="137" t="s">
        <v>790</v>
      </c>
      <c r="AQ59" s="123"/>
      <c r="AR59" s="123"/>
      <c r="AS59" s="123"/>
      <c r="AT59" s="123"/>
      <c r="AU59" s="135" t="s">
        <v>460</v>
      </c>
      <c r="AV59" s="80" t="str">
        <f>IF(LEN(AW59)&gt;0,VLOOKUP(AW59,'1. Lists'!$BQ:$BR,2,FALSE),"")</f>
        <v>ACC</v>
      </c>
      <c r="AW59" s="120" t="s">
        <v>14</v>
      </c>
      <c r="AX59" s="80">
        <f>IF(LEN(AY59)&gt;0,VLOOKUP(AY59,'1. Lists'!$BU$3:$BW$5,3,FALSE),"")</f>
        <v>3</v>
      </c>
      <c r="AY59" s="138" t="s">
        <v>83</v>
      </c>
      <c r="AZ59" s="139">
        <v>4</v>
      </c>
      <c r="BA59" s="82">
        <f t="shared" si="8"/>
        <v>4</v>
      </c>
      <c r="BC59" s="141">
        <v>0</v>
      </c>
      <c r="BD59" s="141">
        <v>0</v>
      </c>
      <c r="BE59" s="141">
        <v>1</v>
      </c>
      <c r="BF59" s="141">
        <v>0</v>
      </c>
      <c r="BG59" s="141">
        <v>0</v>
      </c>
      <c r="BH59" s="141">
        <v>1</v>
      </c>
      <c r="BI59" s="141">
        <v>0</v>
      </c>
      <c r="BJ59" s="141">
        <v>0</v>
      </c>
      <c r="BK59" s="141">
        <v>1</v>
      </c>
      <c r="BL59" s="141">
        <v>0</v>
      </c>
      <c r="BM59" s="141">
        <v>0</v>
      </c>
      <c r="BN59" s="141">
        <v>1</v>
      </c>
      <c r="BP59" s="66">
        <f t="shared" si="9"/>
        <v>1</v>
      </c>
      <c r="BQ59" s="66">
        <f t="shared" si="10"/>
        <v>4</v>
      </c>
      <c r="BR59" s="66">
        <f t="shared" si="11"/>
        <v>1</v>
      </c>
      <c r="BU59" s="66">
        <f t="shared" si="12"/>
        <v>1</v>
      </c>
      <c r="BV59" s="66">
        <f t="shared" si="13"/>
        <v>1</v>
      </c>
      <c r="BW59" s="66">
        <f t="shared" si="14"/>
        <v>1</v>
      </c>
    </row>
    <row r="60" spans="1:75" ht="75" x14ac:dyDescent="0.25">
      <c r="A60" s="174">
        <f t="shared" si="7"/>
        <v>57</v>
      </c>
      <c r="B60" s="66">
        <f>IF(LEN(D60)&gt;0,VLOOKUP(D60,'1. Lists'!$E$3:$J$52,6,FALSE),"")</f>
        <v>17</v>
      </c>
      <c r="C60" s="66" t="str">
        <f>IF(LEN(D60)&gt;0,VLOOKUP(D60,'1. Lists'!$E$3:$F$52,2,FALSE),"")</f>
        <v>Financial Services</v>
      </c>
      <c r="D60" s="120" t="s">
        <v>375</v>
      </c>
      <c r="E60" s="121"/>
      <c r="F60" s="65"/>
      <c r="H60" s="66">
        <f>IF(LEN(I60)&gt;0,VLOOKUP(I60,'1. Lists'!$T:$U,2,FALSE),"")</f>
        <v>67</v>
      </c>
      <c r="I60" s="122" t="s">
        <v>437</v>
      </c>
      <c r="J60" s="123"/>
      <c r="K60" s="66">
        <f>IF(LEN(L60)&gt;0,VLOOKUP(L60,'1. Lists'!$AK:$AL,2,FALSE),"")</f>
        <v>9</v>
      </c>
      <c r="L60" s="124" t="s">
        <v>159</v>
      </c>
      <c r="M60" s="70">
        <f>IF(LEN(N60)&gt;0,VLOOKUP(N60,'1. Lists'!$AN:$AQ,4,FALSE),"")</f>
        <v>2</v>
      </c>
      <c r="N60" s="125" t="s">
        <v>382</v>
      </c>
      <c r="O60" s="66">
        <f>IF(LEN(P60)&gt;0,VLOOKUP(P60,'1. Lists'!$AA:$AC,3,FALSE),"")</f>
        <v>4</v>
      </c>
      <c r="P60" s="134" t="s">
        <v>41</v>
      </c>
      <c r="Q60" s="73">
        <f>IF(LEN(R60)&gt;0,VLOOKUP(R60,'1. Lists'!$W:$Y,3,FALSE),"")</f>
        <v>1</v>
      </c>
      <c r="R60" s="127" t="s">
        <v>169</v>
      </c>
      <c r="S60" s="73">
        <f>IF(LEN(T60)&gt;0,VLOOKUP(T60,'1. Lists'!$AH:$AI,2,FALSE),"")</f>
        <v>11</v>
      </c>
      <c r="T60" s="128" t="s">
        <v>396</v>
      </c>
      <c r="U60" s="76">
        <f>IF(LEN(V60)&gt;0,VLOOKUP(V60,'1. Lists'!$AE:$AF,2,FALSE),"")</f>
        <v>11</v>
      </c>
      <c r="V60" s="129" t="s">
        <v>355</v>
      </c>
      <c r="W60" s="130"/>
      <c r="X60" s="131"/>
      <c r="Z60" s="132" t="s">
        <v>796</v>
      </c>
      <c r="AA60" s="132" t="s">
        <v>797</v>
      </c>
      <c r="AB60" s="66">
        <f>IF(LEN(AC60)&gt;0,VLOOKUP(AC60,'1. Lists'!$AV$3:$AX$7,3,FALSE),"")</f>
        <v>3</v>
      </c>
      <c r="AC60" s="133" t="s">
        <v>4</v>
      </c>
      <c r="AD60" s="66">
        <f>IF(LEN(AE60)&gt;0,VLOOKUP(AE60,'1. Lists'!$AZ$3:$BB$7,3,FALSE),"")</f>
        <v>2</v>
      </c>
      <c r="AE60" s="122" t="s">
        <v>9</v>
      </c>
      <c r="AF60" s="123"/>
      <c r="AG60" s="123"/>
      <c r="AH60" s="66">
        <f>IF(LEN(AI60)&gt;0,VLOOKUP(AI60,'1. Lists'!$BD$3:$BF$15,3,FALSE),"")</f>
        <v>5</v>
      </c>
      <c r="AI60" s="127" t="s">
        <v>340</v>
      </c>
      <c r="AJ60" s="134" t="s">
        <v>68</v>
      </c>
      <c r="AK60" s="135" t="s">
        <v>461</v>
      </c>
      <c r="AL60" s="125" t="s">
        <v>423</v>
      </c>
      <c r="AM60" s="145" t="s">
        <v>762</v>
      </c>
      <c r="AN60" s="123"/>
      <c r="AO60" s="145">
        <v>0.85</v>
      </c>
      <c r="AP60" s="137" t="s">
        <v>798</v>
      </c>
      <c r="AQ60" s="123"/>
      <c r="AR60" s="123"/>
      <c r="AS60" s="123"/>
      <c r="AT60" s="123"/>
      <c r="AU60" s="135" t="s">
        <v>460</v>
      </c>
      <c r="AV60" s="80" t="str">
        <f>IF(LEN(AW60)&gt;0,VLOOKUP(AW60,'1. Lists'!$BQ:$BR,2,FALSE),"")</f>
        <v>LAST</v>
      </c>
      <c r="AW60" s="120" t="s">
        <v>190</v>
      </c>
      <c r="AX60" s="80">
        <f>IF(LEN(AY60)&gt;0,VLOOKUP(AY60,'1. Lists'!$BU$3:$BW$5,3,FALSE),"")</f>
        <v>2</v>
      </c>
      <c r="AY60" s="138" t="s">
        <v>82</v>
      </c>
      <c r="AZ60" s="139">
        <v>85</v>
      </c>
      <c r="BA60" s="82">
        <f t="shared" si="8"/>
        <v>85</v>
      </c>
      <c r="BC60" s="141">
        <v>0</v>
      </c>
      <c r="BD60" s="141">
        <v>0</v>
      </c>
      <c r="BE60" s="141">
        <v>0</v>
      </c>
      <c r="BF60" s="141">
        <v>0</v>
      </c>
      <c r="BG60" s="141">
        <v>0</v>
      </c>
      <c r="BH60" s="141">
        <v>0</v>
      </c>
      <c r="BI60" s="141">
        <v>0</v>
      </c>
      <c r="BJ60" s="141">
        <v>0</v>
      </c>
      <c r="BK60" s="141">
        <v>0</v>
      </c>
      <c r="BL60" s="141">
        <v>0</v>
      </c>
      <c r="BM60" s="141">
        <v>0</v>
      </c>
      <c r="BN60" s="141">
        <v>85</v>
      </c>
      <c r="BP60" s="66">
        <f t="shared" si="9"/>
        <v>85</v>
      </c>
      <c r="BQ60" s="66">
        <f t="shared" si="10"/>
        <v>85</v>
      </c>
      <c r="BR60" s="66">
        <f t="shared" si="11"/>
        <v>85</v>
      </c>
      <c r="BU60" s="66">
        <f t="shared" si="12"/>
        <v>85</v>
      </c>
      <c r="BV60" s="66">
        <f t="shared" si="13"/>
        <v>85</v>
      </c>
      <c r="BW60" s="66">
        <f t="shared" si="14"/>
        <v>85</v>
      </c>
    </row>
  </sheetData>
  <sortState ref="A16:BW60">
    <sortCondition ref="D16:D60"/>
  </sortState>
  <mergeCells count="16">
    <mergeCell ref="AH2:AI2"/>
    <mergeCell ref="AV2:AW2"/>
    <mergeCell ref="AX2:AY2"/>
    <mergeCell ref="BP2:BW2"/>
    <mergeCell ref="Q2:R2"/>
    <mergeCell ref="S2:T2"/>
    <mergeCell ref="U2:V2"/>
    <mergeCell ref="W2:Y2"/>
    <mergeCell ref="AB2:AC2"/>
    <mergeCell ref="AD2:AE2"/>
    <mergeCell ref="O2:P2"/>
    <mergeCell ref="B2:D2"/>
    <mergeCell ref="E2:G2"/>
    <mergeCell ref="H2:I2"/>
    <mergeCell ref="K2:L2"/>
    <mergeCell ref="M2:N2"/>
  </mergeCells>
  <conditionalFormatting sqref="AB1 Q1 O1 M1 K1 G1:H1 AV1 AX1 B1:C1 U42:U45 S42:S45 B42:C45 M42:M45 K42:K45 AX42:AX45 O42:O45 Q42:Q45 AH42:AH45 AD42:AD45 AV42:AV45 AB42:AB45 F42:H45 B54:C56 F54:H56 K54:K56 M54:M56 O54:O56 Q54:Q56 U54:U56 S54:S56 AV54:AV56 AX54:AX56 AH55:AH56 G61:H1048576 AB61:AB1048576 AV61:AV1048576 Q61:Q1048576 O61:O1048576 AX61:AX1048576 K61:K1048576 M61:M1048576 B61:C1048576 S61:S1048576 U61:U1048576 U15:U39 S15:S39 B15:C39 M15:M39 K15:K39 AX15:AX39 O15:O39 Q15:Q39 AH15:AH39 AD15:AD39 AV15:AV39 AB15:AB39 F15:H39 F4:H4 AB4 AV4 AD4 AH4 Q4 O4 AX4 K4 M4 B4:C4 S4 U4">
    <cfRule type="containsErrors" dxfId="286" priority="372">
      <formula>ISERROR(B1)</formula>
    </cfRule>
  </conditionalFormatting>
  <conditionalFormatting sqref="C42:C45 C54:C56 C15:C39 C4">
    <cfRule type="containsBlanks" dxfId="285" priority="352">
      <formula>LEN(TRIM(C4))=0</formula>
    </cfRule>
    <cfRule type="cellIs" dxfId="284" priority="353" operator="notEqual">
      <formula>$C$1</formula>
    </cfRule>
  </conditionalFormatting>
  <conditionalFormatting sqref="J42:J45 J54:J56 J15:J39 J4">
    <cfRule type="expression" dxfId="283" priority="371">
      <formula>LEN(J4)&gt;(MID($J$3,1,FIND(" ",$J$3)-1)*1)</formula>
    </cfRule>
  </conditionalFormatting>
  <conditionalFormatting sqref="V42:V45 AF42:AG45 Z42:AA43 T42:T45 Z54:AA56 AF54:AG56 T54:T56 V54:V56 Z15:AA39 V15:V39 AF15:AG39 T15:T39 T4 AF4:AG4 V4 AM4:AT4 Z4:AA4 AM15:AT39 AM42:AT45 AM54:AT56">
    <cfRule type="expression" dxfId="282" priority="370">
      <formula>LEN(T4)&gt;(MID(T$3,1,FIND(" ",T$3)-1)*1)</formula>
    </cfRule>
  </conditionalFormatting>
  <conditionalFormatting sqref="C42:C45 C54:C56 C15:C39 C4">
    <cfRule type="containsBlanks" dxfId="281" priority="363">
      <formula>LEN(TRIM(C4))=0</formula>
    </cfRule>
  </conditionalFormatting>
  <conditionalFormatting sqref="AU42:AU45 AI42:AL43 V42:V45 I42:I45 AY42:AY45 AW42:AW45 AE42:AE45 AC42:AC45 Z42:Z43 R42:R45 P42:P45 N42:N45 L42:L45 D42:D45 T42:T45 AU54:AU56 Z54:Z56 L54:L56 N54:N56 P54:P56 R54:R56 T54:T56 V54:V56 AE54:AE55 AC54:AC55 AY54:AY56 AW54:AW56 I55:I56 D54:D56 AI55:AL56 AI44:AK45 AI15:AL39 Z15:Z39 AU15:AU39 V15:V39 I15:I39 AY15:AY39 AW15:AW39 AE15:AE39 AC15:AC39 R15:R39 P15:P39 N15:N39 L15:L39 T15:T39 AL5:AL14 T4 L4 N4 P4 R4 AC4 AE4 AW4 AY4 I4 V4 AU4 Z4 AI4:AL4 D4:D39">
    <cfRule type="expression" dxfId="280" priority="354">
      <formula>IF((LEN(D4)+$A4)=$A4,IF($A4&gt;0,TRUE,FALSE),FALSE)</formula>
    </cfRule>
  </conditionalFormatting>
  <conditionalFormatting sqref="X42:X45 X54:X56 X15:X39 X4">
    <cfRule type="expression" dxfId="279" priority="351">
      <formula>IF(LEN(W4)&gt;0,IF(X4&lt;&gt;D4,TRUE,FALSE),FALSE)</formula>
    </cfRule>
  </conditionalFormatting>
  <conditionalFormatting sqref="X42:Y45 X54:Y56 X15:Y39 X4:Y4">
    <cfRule type="containsErrors" dxfId="278" priority="350">
      <formula>ISERROR(X4)</formula>
    </cfRule>
  </conditionalFormatting>
  <conditionalFormatting sqref="S1">
    <cfRule type="containsErrors" dxfId="277" priority="247">
      <formula>ISERROR(S1)</formula>
    </cfRule>
  </conditionalFormatting>
  <conditionalFormatting sqref="U1">
    <cfRule type="containsErrors" dxfId="276" priority="238">
      <formula>ISERROR(U1)</formula>
    </cfRule>
  </conditionalFormatting>
  <conditionalFormatting sqref="F3:G3 AV3 AX3 B3:C3">
    <cfRule type="containsErrors" dxfId="275" priority="222">
      <formula>ISERROR(B3)</formula>
    </cfRule>
  </conditionalFormatting>
  <conditionalFormatting sqref="BP4:BW60">
    <cfRule type="expression" dxfId="274" priority="198">
      <formula>IF(BP$3=$AV4,TRUE,FALSE)</formula>
    </cfRule>
  </conditionalFormatting>
  <conditionalFormatting sqref="F40:H40 AB40 AV40 AD40 AH40 Q40 O40 AX40 K40 M40 B40:C40 S40 U40">
    <cfRule type="containsErrors" dxfId="273" priority="186">
      <formula>ISERROR(B40)</formula>
    </cfRule>
  </conditionalFormatting>
  <conditionalFormatting sqref="C40">
    <cfRule type="containsBlanks" dxfId="272" priority="180">
      <formula>LEN(TRIM(C40))=0</formula>
    </cfRule>
    <cfRule type="cellIs" dxfId="271" priority="181" operator="notEqual">
      <formula>$C$1</formula>
    </cfRule>
  </conditionalFormatting>
  <conditionalFormatting sqref="J40">
    <cfRule type="expression" dxfId="270" priority="185">
      <formula>LEN(J40)&gt;(MID($J$3,1,FIND(" ",$J$3)-1)*1)</formula>
    </cfRule>
  </conditionalFormatting>
  <conditionalFormatting sqref="T40 Z40:AA40 AF40:AG40 V40 AN40:AT40">
    <cfRule type="expression" dxfId="269" priority="184">
      <formula>LEN(T40)&gt;(MID(T$3,1,FIND(" ",T$3)-1)*1)</formula>
    </cfRule>
  </conditionalFormatting>
  <conditionalFormatting sqref="C40">
    <cfRule type="containsBlanks" dxfId="268" priority="183">
      <formula>LEN(TRIM(C40))=0</formula>
    </cfRule>
  </conditionalFormatting>
  <conditionalFormatting sqref="T40 D40 L40 N40 P40 R40 Z40 AC40 AE40 AW40 AY40 I40 V40 AI40:AL40 AU40">
    <cfRule type="expression" dxfId="267" priority="182">
      <formula>IF((LEN(D40)+$A40)=$A40,IF($A40&gt;0,TRUE,FALSE),FALSE)</formula>
    </cfRule>
  </conditionalFormatting>
  <conditionalFormatting sqref="X40">
    <cfRule type="expression" dxfId="266" priority="179">
      <formula>IF(LEN(W40)&gt;0,IF(X40&lt;&gt;D40,TRUE,FALSE),FALSE)</formula>
    </cfRule>
  </conditionalFormatting>
  <conditionalFormatting sqref="X40:Y40">
    <cfRule type="containsErrors" dxfId="265" priority="178">
      <formula>ISERROR(X40)</formula>
    </cfRule>
  </conditionalFormatting>
  <conditionalFormatting sqref="F41:H41 AB41 AV41 AD41 AH41 Q41 O41 AX41 K41 M41 B41:C41 S41 U41">
    <cfRule type="containsErrors" dxfId="264" priority="174">
      <formula>ISERROR(B41)</formula>
    </cfRule>
  </conditionalFormatting>
  <conditionalFormatting sqref="C41">
    <cfRule type="containsBlanks" dxfId="263" priority="168">
      <formula>LEN(TRIM(C41))=0</formula>
    </cfRule>
    <cfRule type="cellIs" dxfId="262" priority="169" operator="notEqual">
      <formula>$C$1</formula>
    </cfRule>
  </conditionalFormatting>
  <conditionalFormatting sqref="J41">
    <cfRule type="expression" dxfId="261" priority="173">
      <formula>LEN(J41)&gt;(MID($J$3,1,FIND(" ",$J$3)-1)*1)</formula>
    </cfRule>
  </conditionalFormatting>
  <conditionalFormatting sqref="T41 Z41:AA41 AF41:AG41 V41 AM41:AT41">
    <cfRule type="expression" dxfId="260" priority="172">
      <formula>LEN(T41)&gt;(MID(T$3,1,FIND(" ",T$3)-1)*1)</formula>
    </cfRule>
  </conditionalFormatting>
  <conditionalFormatting sqref="C41">
    <cfRule type="containsBlanks" dxfId="259" priority="171">
      <formula>LEN(TRIM(C41))=0</formula>
    </cfRule>
  </conditionalFormatting>
  <conditionalFormatting sqref="T41 D41 L41 N41 P41 R41 Z41 AC41 AE41 AW41 AY41 I41 V41 AI41:AL41 AU41">
    <cfRule type="expression" dxfId="258" priority="170">
      <formula>IF((LEN(D41)+$A41)=$A41,IF($A41&gt;0,TRUE,FALSE),FALSE)</formula>
    </cfRule>
  </conditionalFormatting>
  <conditionalFormatting sqref="X41">
    <cfRule type="expression" dxfId="257" priority="167">
      <formula>IF(LEN(W41)&gt;0,IF(X41&lt;&gt;D41,TRUE,FALSE),FALSE)</formula>
    </cfRule>
  </conditionalFormatting>
  <conditionalFormatting sqref="X41:Y41">
    <cfRule type="containsErrors" dxfId="256" priority="166">
      <formula>ISERROR(X41)</formula>
    </cfRule>
  </conditionalFormatting>
  <conditionalFormatting sqref="AH46 B46:C49 F46:H49 K46:K49 M46:M49 O46:O49 Q46:Q49 U46:U49 S46:S49 AD46:AD48 AB46:AB48 AV46:AV49 AX46:AX49">
    <cfRule type="containsErrors" dxfId="255" priority="162">
      <formula>ISERROR(B46)</formula>
    </cfRule>
  </conditionalFormatting>
  <conditionalFormatting sqref="C46:C49">
    <cfRule type="containsBlanks" dxfId="254" priority="156">
      <formula>LEN(TRIM(C46))=0</formula>
    </cfRule>
    <cfRule type="cellIs" dxfId="253" priority="157" operator="notEqual">
      <formula>$C$1</formula>
    </cfRule>
  </conditionalFormatting>
  <conditionalFormatting sqref="J46:J49">
    <cfRule type="expression" dxfId="252" priority="161">
      <formula>LEN(J46)&gt;(MID($J$3,1,FIND(" ",$J$3)-1)*1)</formula>
    </cfRule>
  </conditionalFormatting>
  <conditionalFormatting sqref="Z48:AA49 AF46:AG49 T46:T49 V46:V49 AM46:AT48 AN49:AT49">
    <cfRule type="expression" dxfId="251" priority="160">
      <formula>LEN(T46)&gt;(MID(T$3,1,FIND(" ",T$3)-1)*1)</formula>
    </cfRule>
  </conditionalFormatting>
  <conditionalFormatting sqref="C46:C49">
    <cfRule type="containsBlanks" dxfId="250" priority="159">
      <formula>LEN(TRIM(C46))=0</formula>
    </cfRule>
  </conditionalFormatting>
  <conditionalFormatting sqref="AU46:AU49 Z48:Z49 AJ46:AK46 L46:L49 N46:N49 P46:P49 R46:R49 T46:T49 V46:V49 AE46:AE48 AC46:AC48 AY46:AY49 AW46:AW49 I47:I49 D46:D49">
    <cfRule type="expression" dxfId="249" priority="158">
      <formula>IF((LEN(D46)+$A46)=$A46,IF($A46&gt;0,TRUE,FALSE),FALSE)</formula>
    </cfRule>
  </conditionalFormatting>
  <conditionalFormatting sqref="X46:X49">
    <cfRule type="expression" dxfId="248" priority="155">
      <formula>IF(LEN(W46)&gt;0,IF(X46&lt;&gt;D46,TRUE,FALSE),FALSE)</formula>
    </cfRule>
  </conditionalFormatting>
  <conditionalFormatting sqref="X46:Y49">
    <cfRule type="containsErrors" dxfId="247" priority="154">
      <formula>ISERROR(X46)</formula>
    </cfRule>
  </conditionalFormatting>
  <conditionalFormatting sqref="AI46">
    <cfRule type="expression" dxfId="246" priority="152">
      <formula>IF((LEN(AI46)+$A46)=$A46,IF($A46&gt;0,TRUE,FALSE),FALSE)</formula>
    </cfRule>
  </conditionalFormatting>
  <conditionalFormatting sqref="AB49 AD49">
    <cfRule type="containsErrors" dxfId="245" priority="151">
      <formula>ISERROR(AB49)</formula>
    </cfRule>
  </conditionalFormatting>
  <conditionalFormatting sqref="AC49 AE49">
    <cfRule type="expression" dxfId="244" priority="150">
      <formula>IF((LEN(AC49)+$A49)=$A49,IF($A49&gt;0,TRUE,FALSE),FALSE)</formula>
    </cfRule>
  </conditionalFormatting>
  <conditionalFormatting sqref="AH47:AH49">
    <cfRule type="containsErrors" dxfId="243" priority="149">
      <formula>ISERROR(AH47)</formula>
    </cfRule>
  </conditionalFormatting>
  <conditionalFormatting sqref="AJ48:AL49 AJ47:AK47">
    <cfRule type="expression" dxfId="242" priority="148">
      <formula>IF((LEN(AJ47)+$A47)=$A47,IF($A47&gt;0,TRUE,FALSE),FALSE)</formula>
    </cfRule>
  </conditionalFormatting>
  <conditionalFormatting sqref="AI47:AI49">
    <cfRule type="expression" dxfId="241" priority="147">
      <formula>IF((LEN(AI47)+$A47)=$A47,IF($A47&gt;0,TRUE,FALSE),FALSE)</formula>
    </cfRule>
  </conditionalFormatting>
  <conditionalFormatting sqref="I46">
    <cfRule type="expression" dxfId="240" priority="146">
      <formula>IF((LEN(I46)+$A46)=$A46,IF($A46&gt;0,TRUE,FALSE),FALSE)</formula>
    </cfRule>
  </conditionalFormatting>
  <conditionalFormatting sqref="AH50 B50:C53 F50:H53 K50:K53 M50:M53 O50:O53 Q50:Q53 U50:U53 S50:S53 AD50:AD52 AB50:AB52 AV50:AV53 AX50:AX53">
    <cfRule type="containsErrors" dxfId="239" priority="143">
      <formula>ISERROR(B50)</formula>
    </cfRule>
  </conditionalFormatting>
  <conditionalFormatting sqref="C50:C53">
    <cfRule type="containsBlanks" dxfId="238" priority="137">
      <formula>LEN(TRIM(C50))=0</formula>
    </cfRule>
    <cfRule type="cellIs" dxfId="237" priority="138" operator="notEqual">
      <formula>$C$1</formula>
    </cfRule>
  </conditionalFormatting>
  <conditionalFormatting sqref="J50:J53">
    <cfRule type="expression" dxfId="236" priority="142">
      <formula>LEN(J50)&gt;(MID($J$3,1,FIND(" ",$J$3)-1)*1)</formula>
    </cfRule>
  </conditionalFormatting>
  <conditionalFormatting sqref="Z50:AA53 AF50:AG53 T50:T53 V50:V53 AM50:AT53">
    <cfRule type="expression" dxfId="235" priority="141">
      <formula>LEN(T50)&gt;(MID(T$3,1,FIND(" ",T$3)-1)*1)</formula>
    </cfRule>
  </conditionalFormatting>
  <conditionalFormatting sqref="C50:C53">
    <cfRule type="containsBlanks" dxfId="234" priority="140">
      <formula>LEN(TRIM(C50))=0</formula>
    </cfRule>
  </conditionalFormatting>
  <conditionalFormatting sqref="AU50:AU53 Z50:Z53 AJ50:AL50 L50:L53 N50:N53 P50:P53 R50:R53 T50:T53 V50:V53 AE50:AE52 AC50:AC52 AY50:AY53 AW50:AW53 I51:I53 D50:D53">
    <cfRule type="expression" dxfId="233" priority="139">
      <formula>IF((LEN(D50)+$A50)=$A50,IF($A50&gt;0,TRUE,FALSE),FALSE)</formula>
    </cfRule>
  </conditionalFormatting>
  <conditionalFormatting sqref="X50:X53">
    <cfRule type="expression" dxfId="232" priority="136">
      <formula>IF(LEN(W50)&gt;0,IF(X50&lt;&gt;D50,TRUE,FALSE),FALSE)</formula>
    </cfRule>
  </conditionalFormatting>
  <conditionalFormatting sqref="X50:Y53">
    <cfRule type="containsErrors" dxfId="231" priority="135">
      <formula>ISERROR(X50)</formula>
    </cfRule>
  </conditionalFormatting>
  <conditionalFormatting sqref="AI50">
    <cfRule type="expression" dxfId="230" priority="133">
      <formula>IF((LEN(AI50)+$A50)=$A50,IF($A50&gt;0,TRUE,FALSE),FALSE)</formula>
    </cfRule>
  </conditionalFormatting>
  <conditionalFormatting sqref="AB53 AD53">
    <cfRule type="containsErrors" dxfId="229" priority="132">
      <formula>ISERROR(AB53)</formula>
    </cfRule>
  </conditionalFormatting>
  <conditionalFormatting sqref="AC53 AE53">
    <cfRule type="expression" dxfId="228" priority="131">
      <formula>IF((LEN(AC53)+$A53)=$A53,IF($A53&gt;0,TRUE,FALSE),FALSE)</formula>
    </cfRule>
  </conditionalFormatting>
  <conditionalFormatting sqref="AH51:AH53">
    <cfRule type="containsErrors" dxfId="227" priority="130">
      <formula>ISERROR(AH51)</formula>
    </cfRule>
  </conditionalFormatting>
  <conditionalFormatting sqref="AJ51:AL53">
    <cfRule type="expression" dxfId="226" priority="129">
      <formula>IF((LEN(AJ51)+$A51)=$A51,IF($A51&gt;0,TRUE,FALSE),FALSE)</formula>
    </cfRule>
  </conditionalFormatting>
  <conditionalFormatting sqref="AI51:AI53">
    <cfRule type="expression" dxfId="225" priority="128">
      <formula>IF((LEN(AI51)+$A51)=$A51,IF($A51&gt;0,TRUE,FALSE),FALSE)</formula>
    </cfRule>
  </conditionalFormatting>
  <conditionalFormatting sqref="I50">
    <cfRule type="expression" dxfId="224" priority="127">
      <formula>IF((LEN(I50)+$A50)=$A50,IF($A50&gt;0,TRUE,FALSE),FALSE)</formula>
    </cfRule>
  </conditionalFormatting>
  <conditionalFormatting sqref="AH54 AD54:AD55 AB54:AB55">
    <cfRule type="containsErrors" dxfId="223" priority="124">
      <formula>ISERROR(AB54)</formula>
    </cfRule>
  </conditionalFormatting>
  <conditionalFormatting sqref="AJ54:AL54">
    <cfRule type="expression" dxfId="222" priority="120">
      <formula>IF((LEN(AJ54)+$A54)=$A54,IF($A54&gt;0,TRUE,FALSE),FALSE)</formula>
    </cfRule>
  </conditionalFormatting>
  <conditionalFormatting sqref="AI54">
    <cfRule type="expression" dxfId="221" priority="114">
      <formula>IF((LEN(AI54)+$A54)=$A54,IF($A54&gt;0,TRUE,FALSE),FALSE)</formula>
    </cfRule>
  </conditionalFormatting>
  <conditionalFormatting sqref="AB56 AD56">
    <cfRule type="containsErrors" dxfId="220" priority="113">
      <formula>ISERROR(AB56)</formula>
    </cfRule>
  </conditionalFormatting>
  <conditionalFormatting sqref="AC56 AE56">
    <cfRule type="expression" dxfId="219" priority="112">
      <formula>IF((LEN(AC56)+$A56)=$A56,IF($A56&gt;0,TRUE,FALSE),FALSE)</formula>
    </cfRule>
  </conditionalFormatting>
  <conditionalFormatting sqref="I54">
    <cfRule type="expression" dxfId="218" priority="108">
      <formula>IF((LEN(I54)+$A54)=$A54,IF($A54&gt;0,TRUE,FALSE),FALSE)</formula>
    </cfRule>
  </conditionalFormatting>
  <conditionalFormatting sqref="AH57 B57:C60 F57:H60 K57:K60 M57:M60 O57:O60 Q57:Q60 U57:U60 S57:S60 AD57:AD59 AB57:AB59 AV57:AV60 AX57:AX60">
    <cfRule type="containsErrors" dxfId="217" priority="105">
      <formula>ISERROR(B57)</formula>
    </cfRule>
  </conditionalFormatting>
  <conditionalFormatting sqref="C57:C60">
    <cfRule type="containsBlanks" dxfId="216" priority="99">
      <formula>LEN(TRIM(C57))=0</formula>
    </cfRule>
    <cfRule type="cellIs" dxfId="215" priority="100" operator="notEqual">
      <formula>$C$1</formula>
    </cfRule>
  </conditionalFormatting>
  <conditionalFormatting sqref="J57:J60">
    <cfRule type="expression" dxfId="214" priority="104">
      <formula>LEN(J57)&gt;(MID($J$3,1,FIND(" ",$J$3)-1)*1)</formula>
    </cfRule>
  </conditionalFormatting>
  <conditionalFormatting sqref="AF57:AG60 T57:T60 V57:V60 AM57:AT60 Z57:AA60">
    <cfRule type="expression" dxfId="213" priority="103">
      <formula>LEN(T57)&gt;(MID(T$3,1,FIND(" ",T$3)-1)*1)</formula>
    </cfRule>
  </conditionalFormatting>
  <conditionalFormatting sqref="C57:C60">
    <cfRule type="containsBlanks" dxfId="212" priority="102">
      <formula>LEN(TRIM(C57))=0</formula>
    </cfRule>
  </conditionalFormatting>
  <conditionalFormatting sqref="AU57:AU60 AJ57:AL57 L57:L60 N57:N60 P57:P60 R57:R60 T57:T60 V57:V60 AE57:AE59 AC57:AC59 AY57:AY60 AW57:AW60 I58:I60 D57:D60 Z57:Z60">
    <cfRule type="expression" dxfId="211" priority="101">
      <formula>IF((LEN(D57)+$A57)=$A57,IF($A57&gt;0,TRUE,FALSE),FALSE)</formula>
    </cfRule>
  </conditionalFormatting>
  <conditionalFormatting sqref="X57:X60">
    <cfRule type="expression" dxfId="210" priority="98">
      <formula>IF(LEN(W57)&gt;0,IF(X57&lt;&gt;D57,TRUE,FALSE),FALSE)</formula>
    </cfRule>
  </conditionalFormatting>
  <conditionalFormatting sqref="X57:Y60">
    <cfRule type="containsErrors" dxfId="209" priority="97">
      <formula>ISERROR(X57)</formula>
    </cfRule>
  </conditionalFormatting>
  <conditionalFormatting sqref="AI57">
    <cfRule type="expression" dxfId="208" priority="95">
      <formula>IF((LEN(AI57)+$A57)=$A57,IF($A57&gt;0,TRUE,FALSE),FALSE)</formula>
    </cfRule>
  </conditionalFormatting>
  <conditionalFormatting sqref="AB60 AD60">
    <cfRule type="containsErrors" dxfId="207" priority="94">
      <formula>ISERROR(AB60)</formula>
    </cfRule>
  </conditionalFormatting>
  <conditionalFormatting sqref="AC60 AE60">
    <cfRule type="expression" dxfId="206" priority="93">
      <formula>IF((LEN(AC60)+$A60)=$A60,IF($A60&gt;0,TRUE,FALSE),FALSE)</formula>
    </cfRule>
  </conditionalFormatting>
  <conditionalFormatting sqref="AH58:AH60">
    <cfRule type="containsErrors" dxfId="205" priority="92">
      <formula>ISERROR(AH58)</formula>
    </cfRule>
  </conditionalFormatting>
  <conditionalFormatting sqref="AJ58:AK60">
    <cfRule type="expression" dxfId="204" priority="91">
      <formula>IF((LEN(AJ58)+$A58)=$A58,IF($A58&gt;0,TRUE,FALSE),FALSE)</formula>
    </cfRule>
  </conditionalFormatting>
  <conditionalFormatting sqref="AI58:AI60">
    <cfRule type="expression" dxfId="203" priority="90">
      <formula>IF((LEN(AI58)+$A58)=$A58,IF($A58&gt;0,TRUE,FALSE),FALSE)</formula>
    </cfRule>
  </conditionalFormatting>
  <conditionalFormatting sqref="I57">
    <cfRule type="expression" dxfId="202" priority="89">
      <formula>IF((LEN(I57)+$A57)=$A57,IF($A57&gt;0,TRUE,FALSE),FALSE)</formula>
    </cfRule>
  </conditionalFormatting>
  <conditionalFormatting sqref="A15:A60">
    <cfRule type="cellIs" dxfId="201" priority="66" operator="equal">
      <formula>0</formula>
    </cfRule>
    <cfRule type="duplicateValues" dxfId="200" priority="67"/>
  </conditionalFormatting>
  <conditionalFormatting sqref="Z44:AA47">
    <cfRule type="expression" dxfId="199" priority="65">
      <formula>LEN(Z44)&gt;(MID(Z$3,1,FIND(" ",Z$3)-1)*1)</formula>
    </cfRule>
  </conditionalFormatting>
  <conditionalFormatting sqref="Z44:Z47">
    <cfRule type="expression" dxfId="198" priority="64">
      <formula>IF((LEN(Z44)+$A44)=$A44,IF($A44&gt;0,TRUE,FALSE),FALSE)</formula>
    </cfRule>
  </conditionalFormatting>
  <conditionalFormatting sqref="AL44:AL47">
    <cfRule type="expression" dxfId="197" priority="63">
      <formula>IF((LEN(AL44)+$A44)=$A44,IF($A44&gt;0,TRUE,FALSE),FALSE)</formula>
    </cfRule>
  </conditionalFormatting>
  <conditionalFormatting sqref="AL58:AL60">
    <cfRule type="expression" dxfId="196" priority="62">
      <formula>IF((LEN(AL58)+$A58)=$A58,IF($A58&gt;0,TRUE,FALSE),FALSE)</formula>
    </cfRule>
  </conditionalFormatting>
  <conditionalFormatting sqref="AF8:AG8 AM8:AT8 T8 V8">
    <cfRule type="expression" dxfId="195" priority="33">
      <formula>LEN(T8)&gt;(MID(T$3,1,FIND(" ",T$3)-1)*1)</formula>
    </cfRule>
  </conditionalFormatting>
  <conditionalFormatting sqref="AJ8:AK8">
    <cfRule type="expression" dxfId="194" priority="25">
      <formula>IF((LEN(AJ8)+$A8)=$A8,IF($A8&gt;0,TRUE,FALSE),FALSE)</formula>
    </cfRule>
  </conditionalFormatting>
  <conditionalFormatting sqref="AB12:AB14 AD12:AD14 B5:C14">
    <cfRule type="containsErrors" dxfId="193" priority="13">
      <formula>ISERROR(B5)</formula>
    </cfRule>
  </conditionalFormatting>
  <conditionalFormatting sqref="F5:H5 U5 S5 M5 K5 AX5 O5 Q5 AH5 AD5 AV5 AB5 F13:G14">
    <cfRule type="containsErrors" dxfId="192" priority="57">
      <formula>ISERROR(F5)</formula>
    </cfRule>
  </conditionalFormatting>
  <conditionalFormatting sqref="C5:C14">
    <cfRule type="containsBlanks" dxfId="191" priority="51">
      <formula>LEN(TRIM(C5))=0</formula>
    </cfRule>
    <cfRule type="cellIs" dxfId="190" priority="52" operator="notEqual">
      <formula>$C$1</formula>
    </cfRule>
  </conditionalFormatting>
  <conditionalFormatting sqref="J5 J13:J14">
    <cfRule type="expression" dxfId="189" priority="56">
      <formula>LEN(J5)&gt;(MID($J$3,1,FIND(" ",$J$3)-1)*1)</formula>
    </cfRule>
  </conditionalFormatting>
  <conditionalFormatting sqref="AM5:AT5 V5 AF5:AG5 T5 AF13:AG14 AN13:AO14 AQ13:AT14">
    <cfRule type="expression" dxfId="188" priority="55">
      <formula>LEN(T5)&gt;(MID(T$3,1,FIND(" ",T$3)-1)*1)</formula>
    </cfRule>
  </conditionalFormatting>
  <conditionalFormatting sqref="C5:C14">
    <cfRule type="containsBlanks" dxfId="187" priority="54">
      <formula>LEN(TRIM(C5))=0</formula>
    </cfRule>
  </conditionalFormatting>
  <conditionalFormatting sqref="AI5:AK5 AU5 V5 I5 AY5 AW5 AE5 AC5 R5 P5 N5 L5 T5 AU13:AU14 AW14 N13:N14">
    <cfRule type="expression" dxfId="186" priority="53">
      <formula>IF((LEN(I5)+$A5)=$A5,IF($A5&gt;0,TRUE,FALSE),FALSE)</formula>
    </cfRule>
  </conditionalFormatting>
  <conditionalFormatting sqref="X5 X13:X14">
    <cfRule type="expression" dxfId="185" priority="50">
      <formula>IF(LEN(W5)&gt;0,IF(X5&lt;&gt;D5,TRUE,FALSE),FALSE)</formula>
    </cfRule>
  </conditionalFormatting>
  <conditionalFormatting sqref="X5:Y5 X13:Y14">
    <cfRule type="containsErrors" dxfId="184" priority="49">
      <formula>ISERROR(X5)</formula>
    </cfRule>
  </conditionalFormatting>
  <conditionalFormatting sqref="M6:M7 K6:K7 O6:O7 Q6:Q7 S6:S7 AB6:AB7 AD6:AD7 AH6:AH7 AV6:AV7 AX6:AX7 F6:H7">
    <cfRule type="containsErrors" dxfId="183" priority="47">
      <formula>ISERROR(F6)</formula>
    </cfRule>
  </conditionalFormatting>
  <conditionalFormatting sqref="J6:J7">
    <cfRule type="expression" dxfId="182" priority="46">
      <formula>LEN(J6)&gt;(MID($J$3,1,FIND(" ",$J$3)-1)*1)</formula>
    </cfRule>
  </conditionalFormatting>
  <conditionalFormatting sqref="I6:I7 R6:R7 P6:P7 N6:N7 L6:L7">
    <cfRule type="expression" dxfId="181" priority="45">
      <formula>IF((LEN(I6)+$A6)=$A6,IF($A6&gt;0,TRUE,FALSE),FALSE)</formula>
    </cfRule>
  </conditionalFormatting>
  <conditionalFormatting sqref="X6:X7">
    <cfRule type="expression" dxfId="180" priority="44">
      <formula>IF(LEN(W6)&gt;0,IF(X6&lt;&gt;D6,TRUE,FALSE),FALSE)</formula>
    </cfRule>
  </conditionalFormatting>
  <conditionalFormatting sqref="X6:Y7">
    <cfRule type="containsErrors" dxfId="179" priority="43">
      <formula>ISERROR(X6)</formula>
    </cfRule>
  </conditionalFormatting>
  <conditionalFormatting sqref="AM6:AM7">
    <cfRule type="expression" dxfId="178" priority="42">
      <formula>LEN(AM6)&gt;(MID(AM$3,1,FIND(" ",AM$3)-1)*1)</formula>
    </cfRule>
  </conditionalFormatting>
  <conditionalFormatting sqref="U6:U7">
    <cfRule type="containsErrors" dxfId="177" priority="41">
      <formula>ISERROR(U6)</formula>
    </cfRule>
  </conditionalFormatting>
  <conditionalFormatting sqref="AF6:AG7 V6:V7 AN6:AT7">
    <cfRule type="expression" dxfId="176" priority="40">
      <formula>LEN(V6)&gt;(MID(V$3,1,FIND(" ",V$3)-1)*1)</formula>
    </cfRule>
  </conditionalFormatting>
  <conditionalFormatting sqref="V6:V7 AC6:AC7 AE6:AE7 AW6:AW7 AY6:AY7 AI6:AK7">
    <cfRule type="expression" dxfId="175" priority="39">
      <formula>IF((LEN(V6)+$A6)=$A6,IF($A6&gt;0,TRUE,FALSE),FALSE)</formula>
    </cfRule>
  </conditionalFormatting>
  <conditionalFormatting sqref="T6:T7">
    <cfRule type="expression" dxfId="174" priority="37">
      <formula>IF((LEN(T6)+$A6)=$A6,IF($A6&gt;0,TRUE,FALSE),FALSE)</formula>
    </cfRule>
  </conditionalFormatting>
  <conditionalFormatting sqref="AU6:AU7">
    <cfRule type="expression" dxfId="173" priority="36">
      <formula>IF((LEN(AU6)+$A6)=$A6,IF($A6&gt;0,TRUE,FALSE),FALSE)</formula>
    </cfRule>
  </conditionalFormatting>
  <conditionalFormatting sqref="F8:H8 K8 M8 O8 Q8 U8 S8">
    <cfRule type="containsErrors" dxfId="172" priority="35">
      <formula>ISERROR(F8)</formula>
    </cfRule>
  </conditionalFormatting>
  <conditionalFormatting sqref="J8">
    <cfRule type="expression" dxfId="171" priority="34">
      <formula>LEN(J8)&gt;(MID($J$3,1,FIND(" ",$J$3)-1)*1)</formula>
    </cfRule>
  </conditionalFormatting>
  <conditionalFormatting sqref="AU8 L8 R8 P8 N8 T8 V8">
    <cfRule type="expression" dxfId="170" priority="32">
      <formula>IF((LEN(L8)+$A8)=$A8,IF($A8&gt;0,TRUE,FALSE),FALSE)</formula>
    </cfRule>
  </conditionalFormatting>
  <conditionalFormatting sqref="X8">
    <cfRule type="expression" dxfId="169" priority="31">
      <formula>IF(LEN(W8)&gt;0,IF(X8&lt;&gt;D8,TRUE,FALSE),FALSE)</formula>
    </cfRule>
  </conditionalFormatting>
  <conditionalFormatting sqref="X8:Y8">
    <cfRule type="containsErrors" dxfId="168" priority="30">
      <formula>ISERROR(X8)</formula>
    </cfRule>
  </conditionalFormatting>
  <conditionalFormatting sqref="AB8 AD8">
    <cfRule type="containsErrors" dxfId="167" priority="28">
      <formula>ISERROR(AB8)</formula>
    </cfRule>
  </conditionalFormatting>
  <conditionalFormatting sqref="AC8 AE8">
    <cfRule type="expression" dxfId="166" priority="27">
      <formula>IF((LEN(AC8)+$A8)=$A8,IF($A8&gt;0,TRUE,FALSE),FALSE)</formula>
    </cfRule>
  </conditionalFormatting>
  <conditionalFormatting sqref="AH8">
    <cfRule type="containsErrors" dxfId="165" priority="26">
      <formula>ISERROR(AH8)</formula>
    </cfRule>
  </conditionalFormatting>
  <conditionalFormatting sqref="AI8">
    <cfRule type="expression" dxfId="164" priority="24">
      <formula>IF((LEN(AI8)+$A8)=$A8,IF($A8&gt;0,TRUE,FALSE),FALSE)</formula>
    </cfRule>
  </conditionalFormatting>
  <conditionalFormatting sqref="AV8 AX8">
    <cfRule type="containsErrors" dxfId="163" priority="23">
      <formula>ISERROR(AV8)</formula>
    </cfRule>
  </conditionalFormatting>
  <conditionalFormatting sqref="AW8 AY8">
    <cfRule type="expression" dxfId="162" priority="22">
      <formula>IF((LEN(AW8)+$A8)=$A8,IF($A8&gt;0,TRUE,FALSE),FALSE)</formula>
    </cfRule>
  </conditionalFormatting>
  <conditionalFormatting sqref="AH9 F9:H12 AD9:AD11 AB9:AB11 H13:H14 K9:K14 M9:M14 O9:O14 Q9:Q14 U9:U14 S9:S14 AV9:AV14 AX9:AX14">
    <cfRule type="containsErrors" dxfId="161" priority="21">
      <formula>ISERROR(F9)</formula>
    </cfRule>
  </conditionalFormatting>
  <conditionalFormatting sqref="J9:J12">
    <cfRule type="expression" dxfId="160" priority="20">
      <formula>LEN(J9)&gt;(MID($J$3,1,FIND(" ",$J$3)-1)*1)</formula>
    </cfRule>
  </conditionalFormatting>
  <conditionalFormatting sqref="AF9:AG12 AM9:AT12 T9:T14 V9:V14 AM13:AM14 AP13:AP14">
    <cfRule type="expression" dxfId="159" priority="19">
      <formula>LEN(T9)&gt;(MID(T$3,1,FIND(" ",T$3)-1)*1)</formula>
    </cfRule>
  </conditionalFormatting>
  <conditionalFormatting sqref="AU9:AU12 AJ9:AK9 N9:N12 AE9:AE11 AC9:AC11 L9:L14 P9:P14 R9:R14 T9:T14 V9:V14 AW9:AW13 AY9:AY14">
    <cfRule type="expression" dxfId="158" priority="18">
      <formula>IF((LEN(L9)+$A9)=$A9,IF($A9&gt;0,TRUE,FALSE),FALSE)</formula>
    </cfRule>
  </conditionalFormatting>
  <conditionalFormatting sqref="X9:X12">
    <cfRule type="expression" dxfId="157" priority="17">
      <formula>IF(LEN(W9)&gt;0,IF(X9&lt;&gt;D9,TRUE,FALSE),FALSE)</formula>
    </cfRule>
  </conditionalFormatting>
  <conditionalFormatting sqref="X9:Y12">
    <cfRule type="containsErrors" dxfId="156" priority="16">
      <formula>ISERROR(X9)</formula>
    </cfRule>
  </conditionalFormatting>
  <conditionalFormatting sqref="AI9">
    <cfRule type="expression" dxfId="155" priority="14">
      <formula>IF((LEN(AI9)+$A9)=$A9,IF($A9&gt;0,TRUE,FALSE),FALSE)</formula>
    </cfRule>
  </conditionalFormatting>
  <conditionalFormatting sqref="AC12:AC14 AE12:AE14">
    <cfRule type="expression" dxfId="154" priority="12">
      <formula>IF((LEN(AC12)+$A12)=$A12,IF($A12&gt;0,TRUE,FALSE),FALSE)</formula>
    </cfRule>
  </conditionalFormatting>
  <conditionalFormatting sqref="AH10:AH12">
    <cfRule type="containsErrors" dxfId="153" priority="11">
      <formula>ISERROR(AH10)</formula>
    </cfRule>
  </conditionalFormatting>
  <conditionalFormatting sqref="AJ10:AK12">
    <cfRule type="expression" dxfId="152" priority="10">
      <formula>IF((LEN(AJ10)+$A10)=$A10,IF($A10&gt;0,TRUE,FALSE),FALSE)</formula>
    </cfRule>
  </conditionalFormatting>
  <conditionalFormatting sqref="AI10:AI12">
    <cfRule type="expression" dxfId="151" priority="9">
      <formula>IF((LEN(AI10)+$A10)=$A10,IF($A10&gt;0,TRUE,FALSE),FALSE)</formula>
    </cfRule>
  </conditionalFormatting>
  <conditionalFormatting sqref="I8:I14">
    <cfRule type="expression" dxfId="150" priority="8">
      <formula>IF((LEN(I8)+$A8)=$A8,IF($A8&gt;0,TRUE,FALSE),FALSE)</formula>
    </cfRule>
  </conditionalFormatting>
  <conditionalFormatting sqref="AH13:AH14">
    <cfRule type="containsErrors" dxfId="149" priority="7">
      <formula>ISERROR(AH13)</formula>
    </cfRule>
  </conditionalFormatting>
  <conditionalFormatting sqref="AJ13:AK14">
    <cfRule type="expression" dxfId="148" priority="6">
      <formula>IF((LEN(AJ13)+$A13)=$A13,IF($A13&gt;0,TRUE,FALSE),FALSE)</formula>
    </cfRule>
  </conditionalFormatting>
  <conditionalFormatting sqref="AI13:AI14">
    <cfRule type="expression" dxfId="147" priority="5">
      <formula>IF((LEN(AI13)+$A13)=$A13,IF($A13&gt;0,TRUE,FALSE),FALSE)</formula>
    </cfRule>
  </conditionalFormatting>
  <conditionalFormatting sqref="A5:A60">
    <cfRule type="cellIs" dxfId="146" priority="58" operator="equal">
      <formula>0</formula>
    </cfRule>
    <cfRule type="duplicateValues" dxfId="145" priority="59"/>
  </conditionalFormatting>
  <conditionalFormatting sqref="A5">
    <cfRule type="cellIs" dxfId="144" priority="60" operator="equal">
      <formula>0</formula>
    </cfRule>
    <cfRule type="duplicateValues" dxfId="143" priority="61"/>
  </conditionalFormatting>
  <conditionalFormatting sqref="Z5:AA14">
    <cfRule type="expression" dxfId="142" priority="4">
      <formula>LEN(Z5)&gt;(MID(Z$3,1,FIND(" ",Z$3)-1)*1)</formula>
    </cfRule>
  </conditionalFormatting>
  <conditionalFormatting sqref="Z5:Z14">
    <cfRule type="expression" dxfId="141" priority="3">
      <formula>IF((LEN(Z5)+$A5)=$A5,IF($A5&gt;0,TRUE,FALSE),FALSE)</formula>
    </cfRule>
  </conditionalFormatting>
  <conditionalFormatting sqref="A4">
    <cfRule type="cellIs" dxfId="140" priority="1091" operator="equal">
      <formula>0</formula>
    </cfRule>
    <cfRule type="duplicateValues" dxfId="139" priority="1092"/>
  </conditionalFormatting>
  <conditionalFormatting sqref="AM40">
    <cfRule type="expression" dxfId="138" priority="2">
      <formula>LEN(AM40)&gt;(MID(AM$3,1,FIND(" ",AM$3)-1)*1)</formula>
    </cfRule>
  </conditionalFormatting>
  <conditionalFormatting sqref="AM49">
    <cfRule type="expression" dxfId="137" priority="1">
      <formula>LEN(AM49)&gt;(MID(AM$3,1,FIND(" ",AM$3)-1)*1)</formula>
    </cfRule>
  </conditionalFormatting>
  <dataValidations count="15">
    <dataValidation type="list" allowBlank="1" showInputMessage="1" showErrorMessage="1" sqref="AL4:AL60">
      <formula1>driver</formula1>
    </dataValidation>
    <dataValidation type="list" allowBlank="1" showInputMessage="1" showErrorMessage="1" sqref="AW4:AW60">
      <formula1>calctype</formula1>
    </dataValidation>
    <dataValidation type="list" allowBlank="1" showInputMessage="1" showErrorMessage="1" sqref="AY4:AY60">
      <formula1>targettype</formula1>
    </dataValidation>
    <dataValidation type="list" allowBlank="1" showInputMessage="1" showErrorMessage="1" sqref="AC4:AC60">
      <formula1>concept</formula1>
    </dataValidation>
    <dataValidation type="list" allowBlank="1" showInputMessage="1" showErrorMessage="1" sqref="AE4:AE60">
      <formula1>ktype</formula1>
    </dataValidation>
    <dataValidation type="list" allowBlank="1" showInputMessage="1" showErrorMessage="1" sqref="AI4:AI60">
      <formula1>riskrate</formula1>
    </dataValidation>
    <dataValidation type="list" allowBlank="1" showInputMessage="1" showErrorMessage="1" sqref="D4:D60">
      <formula1>SubDir</formula1>
    </dataValidation>
    <dataValidation type="whole" allowBlank="1" showInputMessage="1" showErrorMessage="1" sqref="E4:E60">
      <formula1>1</formula1>
      <formula2>1001</formula2>
    </dataValidation>
    <dataValidation type="list" allowBlank="1" showInputMessage="1" showErrorMessage="1" sqref="I4:I60">
      <formula1>gfs</formula1>
    </dataValidation>
    <dataValidation type="list" allowBlank="1" showInputMessage="1" showErrorMessage="1" sqref="L4:L60">
      <formula1>natout</formula1>
    </dataValidation>
    <dataValidation type="list" allowBlank="1" showInputMessage="1" showErrorMessage="1" sqref="R4:R60">
      <formula1>munkpa</formula1>
    </dataValidation>
    <dataValidation type="list" allowBlank="1" showInputMessage="1" showErrorMessage="1" sqref="P4:P60">
      <formula1>natkpa</formula1>
    </dataValidation>
    <dataValidation type="list" allowBlank="1" showInputMessage="1" showErrorMessage="1" sqref="N4:N60">
      <formula1>deptobj</formula1>
    </dataValidation>
    <dataValidation type="list" allowBlank="1" showInputMessage="1" showErrorMessage="1" sqref="T4:T60">
      <formula1>PDO</formula1>
    </dataValidation>
    <dataValidation type="list" allowBlank="1" showInputMessage="1" showErrorMessage="1" sqref="V4:V60">
      <formula1>NDP_Objective</formula1>
    </dataValidation>
  </dataValidations>
  <pageMargins left="0.25" right="0.25" top="0.75" bottom="0.75" header="0.3" footer="0.3"/>
  <pageSetup paperSize="9" scale="30" fitToHeight="100" orientation="landscape" r:id="rId1"/>
  <headerFooter>
    <oddHeader>&amp;L&amp;"-,Bold"&amp;A&amp;C&amp;"-,Bold"Departmental Service Delivery Budget Implementation Plan for 2018/19</oddHeader>
    <oddFooter>&amp;R&amp;"-,Bold"Page|&amp;P/&amp;N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'1. Lists'!$A$3:$A$26</xm:f>
          </x14:formula1>
          <xm:sqref>C1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W29"/>
  <sheetViews>
    <sheetView topLeftCell="A6" zoomScale="85" zoomScaleNormal="85" workbookViewId="0">
      <selection activeCell="A13" sqref="A13:XFD13"/>
    </sheetView>
  </sheetViews>
  <sheetFormatPr defaultColWidth="9.140625" defaultRowHeight="15" x14ac:dyDescent="0.25"/>
  <cols>
    <col min="1" max="1" width="7.85546875" style="174" customWidth="1"/>
    <col min="2" max="2" width="8.140625" style="80" hidden="1" customWidth="1"/>
    <col min="3" max="3" width="20.85546875" style="80" hidden="1" customWidth="1"/>
    <col min="4" max="4" width="24.5703125" style="164" customWidth="1"/>
    <col min="5" max="5" width="9.28515625" style="65" hidden="1" customWidth="1"/>
    <col min="6" max="6" width="14.85546875" style="65" hidden="1" customWidth="1"/>
    <col min="7" max="7" width="24.5703125" style="65" hidden="1" customWidth="1"/>
    <col min="8" max="8" width="5.5703125" style="80" hidden="1" customWidth="1"/>
    <col min="9" max="9" width="56.7109375" style="165" hidden="1" customWidth="1"/>
    <col min="10" max="10" width="15.28515625" style="166" hidden="1" customWidth="1"/>
    <col min="11" max="11" width="5.5703125" style="80" hidden="1" customWidth="1"/>
    <col min="12" max="12" width="27.28515625" style="167" hidden="1" customWidth="1"/>
    <col min="13" max="13" width="5.5703125" style="168" hidden="1" customWidth="1"/>
    <col min="14" max="14" width="27.42578125" style="169" customWidth="1"/>
    <col min="15" max="15" width="5.5703125" style="80" hidden="1" customWidth="1"/>
    <col min="16" max="16" width="24" style="170" hidden="1" customWidth="1"/>
    <col min="17" max="17" width="5.5703125" style="73" hidden="1" customWidth="1"/>
    <col min="18" max="18" width="29.140625" style="171" hidden="1" customWidth="1"/>
    <col min="19" max="19" width="5.5703125" style="73" hidden="1" customWidth="1"/>
    <col min="20" max="20" width="32.28515625" style="172" hidden="1" customWidth="1"/>
    <col min="21" max="21" width="5.5703125" style="76" hidden="1" customWidth="1"/>
    <col min="22" max="22" width="32.28515625" style="172" hidden="1" customWidth="1"/>
    <col min="23" max="23" width="9.85546875" style="78" hidden="1" customWidth="1"/>
    <col min="24" max="24" width="20.140625" style="78" hidden="1" customWidth="1"/>
    <col min="25" max="25" width="29.28515625" style="78" hidden="1" customWidth="1"/>
    <col min="26" max="26" width="40.5703125" style="172" customWidth="1"/>
    <col min="27" max="27" width="48.5703125" style="172" customWidth="1"/>
    <col min="28" max="28" width="6.7109375" style="80" hidden="1" customWidth="1"/>
    <col min="29" max="29" width="14.7109375" style="166" hidden="1" customWidth="1"/>
    <col min="30" max="30" width="6.5703125" style="80" hidden="1" customWidth="1"/>
    <col min="31" max="32" width="22.28515625" style="166" hidden="1" customWidth="1"/>
    <col min="33" max="33" width="45.7109375" style="166" hidden="1" customWidth="1"/>
    <col min="34" max="34" width="5.5703125" style="80" hidden="1" customWidth="1"/>
    <col min="35" max="35" width="24.85546875" style="166" hidden="1" customWidth="1"/>
    <col min="36" max="37" width="18" style="166" hidden="1" customWidth="1"/>
    <col min="38" max="38" width="22.85546875" style="169" customWidth="1"/>
    <col min="39" max="39" width="28.28515625" style="166" customWidth="1"/>
    <col min="40" max="40" width="28.28515625" style="166" hidden="1" customWidth="1"/>
    <col min="41" max="42" width="28.28515625" style="166" customWidth="1"/>
    <col min="43" max="46" width="28.28515625" style="166" hidden="1" customWidth="1"/>
    <col min="47" max="47" width="21.42578125" style="164" hidden="1" customWidth="1"/>
    <col min="48" max="48" width="5.5703125" style="80" hidden="1" customWidth="1"/>
    <col min="49" max="49" width="19.140625" style="164" hidden="1" customWidth="1"/>
    <col min="50" max="50" width="5.5703125" style="80" hidden="1" customWidth="1"/>
    <col min="51" max="51" width="19.140625" style="164" bestFit="1" customWidth="1"/>
    <col min="52" max="52" width="13.42578125" style="81" bestFit="1" customWidth="1"/>
    <col min="53" max="53" width="14.140625" style="159" hidden="1" customWidth="1"/>
    <col min="54" max="54" width="2.28515625" style="80" customWidth="1"/>
    <col min="55" max="66" width="14.5703125" style="173" customWidth="1"/>
    <col min="67" max="86" width="0" style="80" hidden="1" customWidth="1"/>
    <col min="87" max="16384" width="9.140625" style="80"/>
  </cols>
  <sheetData>
    <row r="1" spans="1:75" ht="30" hidden="1" x14ac:dyDescent="0.25">
      <c r="A1" s="161" t="str">
        <f>top_dirid</f>
        <v>Directorate [R]</v>
      </c>
      <c r="B1" s="162"/>
      <c r="C1" s="163" t="s">
        <v>361</v>
      </c>
    </row>
    <row r="2" spans="1:75" s="84" customFormat="1" ht="31.9" customHeight="1" x14ac:dyDescent="0.25">
      <c r="A2" s="84" t="s">
        <v>179</v>
      </c>
      <c r="B2" s="424" t="str">
        <f>kpi_subid</f>
        <v>Sub-Directorate [R]</v>
      </c>
      <c r="C2" s="424"/>
      <c r="D2" s="424"/>
      <c r="E2" s="422" t="str">
        <f>kpi_topid</f>
        <v>Top Layer KPI</v>
      </c>
      <c r="F2" s="422"/>
      <c r="G2" s="422"/>
      <c r="H2" s="420" t="str">
        <f>kpi_gfsid</f>
        <v>Function [R]</v>
      </c>
      <c r="I2" s="420"/>
      <c r="J2" s="85" t="str">
        <f>kpi_idpref</f>
        <v>IDP Ref</v>
      </c>
      <c r="K2" s="417" t="str">
        <f>kpi_natoutcomeid</f>
        <v>National Outcome [R]</v>
      </c>
      <c r="L2" s="417"/>
      <c r="M2" s="419" t="str">
        <f>kpi_idpid</f>
        <v>IDP Objective [R]</v>
      </c>
      <c r="N2" s="419"/>
      <c r="O2" s="421" t="str">
        <f>kpi_natkpaid</f>
        <v>National KPA [R]</v>
      </c>
      <c r="P2" s="421"/>
      <c r="Q2" s="422" t="str">
        <f>kpi_munkpaid</f>
        <v>Municipal KPA [R]</v>
      </c>
      <c r="R2" s="422"/>
      <c r="S2" s="424" t="str">
        <f>kpi_pdoid</f>
        <v>Pre-determined Objectives [R]</v>
      </c>
      <c r="T2" s="424"/>
      <c r="U2" s="420" t="str">
        <f>kpi_ndpid</f>
        <v>NDP Objective [R]</v>
      </c>
      <c r="V2" s="420"/>
      <c r="W2" s="417" t="str">
        <f>kpi_capitalid</f>
        <v>Capital Project</v>
      </c>
      <c r="X2" s="417"/>
      <c r="Y2" s="417"/>
      <c r="Z2" s="85" t="str">
        <f>kpi_value</f>
        <v>KPI Name [R]</v>
      </c>
      <c r="AA2" s="85" t="str">
        <f>kpi_unit</f>
        <v>Unit of Measurement</v>
      </c>
      <c r="AB2" s="424" t="str">
        <f>kpi_conceptid</f>
        <v>KPI Concept [R]</v>
      </c>
      <c r="AC2" s="424"/>
      <c r="AD2" s="420" t="str">
        <f>kpi_typeid</f>
        <v>KPI Type [R]</v>
      </c>
      <c r="AE2" s="420"/>
      <c r="AF2" s="85" t="str">
        <f>kpi_riskref</f>
        <v>Risk Reg. Ref</v>
      </c>
      <c r="AG2" s="85" t="str">
        <f>kpi_risk</f>
        <v>Risk</v>
      </c>
      <c r="AH2" s="422" t="str">
        <f>kpi_riskratingid</f>
        <v>Provincial Strategic Objectives [R]</v>
      </c>
      <c r="AI2" s="422"/>
      <c r="AJ2" s="86" t="str">
        <f>kpi_wards</f>
        <v>Ward [R]</v>
      </c>
      <c r="AK2" s="87" t="str">
        <f>kpi_area</f>
        <v>Area [R]</v>
      </c>
      <c r="AL2" s="88" t="str">
        <f>kpi_ownerid</f>
        <v>KPI Owner [R]</v>
      </c>
      <c r="AM2" s="85" t="str">
        <f>kpi_baseline</f>
        <v>Baseline</v>
      </c>
      <c r="AN2" s="85" t="str">
        <f>kpi_pyp</f>
        <v>Past Year Performance</v>
      </c>
      <c r="AO2" s="85" t="str">
        <f>kpi_perfstd</f>
        <v>Performance Standard</v>
      </c>
      <c r="AP2" s="85" t="str">
        <f>kpi_poe</f>
        <v>POE</v>
      </c>
      <c r="AQ2" s="85" t="str">
        <f>kpi_mtas</f>
        <v>MTAS Indicator</v>
      </c>
      <c r="AR2" s="85" t="str">
        <f>kpi_new1</f>
        <v>New Text 1</v>
      </c>
      <c r="AS2" s="85" t="str">
        <f>kpi_new2</f>
        <v>New Text 2</v>
      </c>
      <c r="AT2" s="85" t="str">
        <f>kpi_new3</f>
        <v>New Text 3</v>
      </c>
      <c r="AU2" s="90" t="str">
        <f>kpi_repcate</f>
        <v>Reporting Category [R]</v>
      </c>
      <c r="AV2" s="424" t="str">
        <f>kpi_calctype</f>
        <v>KPI Calculation Type [R]</v>
      </c>
      <c r="AW2" s="424"/>
      <c r="AX2" s="420" t="str">
        <f>kpi_targettype</f>
        <v>Target Type [R]</v>
      </c>
      <c r="AY2" s="420"/>
      <c r="AZ2" s="91" t="str">
        <f>kpi_annual</f>
        <v>Annual Target</v>
      </c>
      <c r="BA2" s="85" t="str">
        <f>kpi_revised</f>
        <v>Revised Target</v>
      </c>
      <c r="BC2" s="91" t="str">
        <f>tp_1</f>
        <v>July 2018</v>
      </c>
      <c r="BD2" s="91" t="str">
        <f>tp_2</f>
        <v>August 2018</v>
      </c>
      <c r="BE2" s="91" t="str">
        <f>tp_3</f>
        <v>September 2018</v>
      </c>
      <c r="BF2" s="91" t="str">
        <f>tp_4</f>
        <v>October 2018</v>
      </c>
      <c r="BG2" s="91" t="str">
        <f>tp_5</f>
        <v>November 2018</v>
      </c>
      <c r="BH2" s="91" t="str">
        <f>tp_6</f>
        <v>December 2018</v>
      </c>
      <c r="BI2" s="91" t="str">
        <f>tp_7</f>
        <v>January 2019</v>
      </c>
      <c r="BJ2" s="91" t="str">
        <f>tp_8</f>
        <v>February 2019</v>
      </c>
      <c r="BK2" s="91" t="str">
        <f>tp_9</f>
        <v>March 2019</v>
      </c>
      <c r="BL2" s="91" t="str">
        <f>tp_10</f>
        <v>April 2019</v>
      </c>
      <c r="BM2" s="91" t="str">
        <f>tp_11</f>
        <v>May 2019</v>
      </c>
      <c r="BN2" s="91" t="str">
        <f>tp_12</f>
        <v>June 2019</v>
      </c>
      <c r="BP2" s="416" t="s">
        <v>333</v>
      </c>
      <c r="BQ2" s="416"/>
      <c r="BR2" s="416"/>
      <c r="BS2" s="416"/>
      <c r="BT2" s="416"/>
      <c r="BU2" s="416"/>
      <c r="BV2" s="416"/>
      <c r="BW2" s="416"/>
    </row>
    <row r="3" spans="1:75" s="93" customFormat="1" ht="15" customHeight="1" x14ac:dyDescent="0.25">
      <c r="A3" s="174" t="s">
        <v>0</v>
      </c>
      <c r="B3" s="93" t="s">
        <v>179</v>
      </c>
      <c r="C3" s="93" t="s">
        <v>1</v>
      </c>
      <c r="D3" s="94" t="s">
        <v>94</v>
      </c>
      <c r="E3" s="95" t="s">
        <v>180</v>
      </c>
      <c r="F3" s="96" t="s">
        <v>1</v>
      </c>
      <c r="G3" s="96" t="s">
        <v>95</v>
      </c>
      <c r="H3" s="93" t="s">
        <v>179</v>
      </c>
      <c r="I3" s="98" t="s">
        <v>94</v>
      </c>
      <c r="J3" s="99" t="s">
        <v>103</v>
      </c>
      <c r="K3" s="93" t="s">
        <v>179</v>
      </c>
      <c r="L3" s="100" t="s">
        <v>94</v>
      </c>
      <c r="M3" s="93" t="s">
        <v>179</v>
      </c>
      <c r="N3" s="101" t="s">
        <v>94</v>
      </c>
      <c r="O3" s="93" t="s">
        <v>179</v>
      </c>
      <c r="P3" s="102" t="s">
        <v>94</v>
      </c>
      <c r="Q3" s="93" t="s">
        <v>179</v>
      </c>
      <c r="R3" s="103" t="s">
        <v>94</v>
      </c>
      <c r="S3" s="93" t="s">
        <v>179</v>
      </c>
      <c r="T3" s="175" t="s">
        <v>94</v>
      </c>
      <c r="U3" s="108" t="s">
        <v>179</v>
      </c>
      <c r="V3" s="176" t="s">
        <v>94</v>
      </c>
      <c r="W3" s="177" t="s">
        <v>178</v>
      </c>
      <c r="X3" s="108" t="s">
        <v>99</v>
      </c>
      <c r="Y3" s="108" t="s">
        <v>98</v>
      </c>
      <c r="Z3" s="109" t="s">
        <v>105</v>
      </c>
      <c r="AA3" s="109" t="s">
        <v>168</v>
      </c>
      <c r="AB3" s="93" t="s">
        <v>179</v>
      </c>
      <c r="AC3" s="94" t="s">
        <v>94</v>
      </c>
      <c r="AD3" s="93" t="s">
        <v>179</v>
      </c>
      <c r="AE3" s="98" t="s">
        <v>94</v>
      </c>
      <c r="AF3" s="99" t="s">
        <v>107</v>
      </c>
      <c r="AG3" s="99" t="s">
        <v>106</v>
      </c>
      <c r="AH3" s="93" t="s">
        <v>179</v>
      </c>
      <c r="AI3" s="103" t="s">
        <v>94</v>
      </c>
      <c r="AJ3" s="102" t="s">
        <v>92</v>
      </c>
      <c r="AK3" s="100" t="s">
        <v>181</v>
      </c>
      <c r="AL3" s="101" t="s">
        <v>94</v>
      </c>
      <c r="AM3" s="99" t="s">
        <v>106</v>
      </c>
      <c r="AN3" s="99" t="s">
        <v>106</v>
      </c>
      <c r="AO3" s="99" t="s">
        <v>106</v>
      </c>
      <c r="AP3" s="99" t="s">
        <v>106</v>
      </c>
      <c r="AQ3" s="99" t="s">
        <v>168</v>
      </c>
      <c r="AR3" s="99" t="s">
        <v>168</v>
      </c>
      <c r="AS3" s="99" t="s">
        <v>168</v>
      </c>
      <c r="AT3" s="99" t="s">
        <v>168</v>
      </c>
      <c r="AU3" s="100" t="s">
        <v>182</v>
      </c>
      <c r="AV3" s="93" t="s">
        <v>179</v>
      </c>
      <c r="AW3" s="94" t="s">
        <v>94</v>
      </c>
      <c r="AX3" s="93" t="s">
        <v>179</v>
      </c>
      <c r="AY3" s="98" t="s">
        <v>94</v>
      </c>
      <c r="AZ3" s="116" t="s">
        <v>83</v>
      </c>
      <c r="BA3" s="99" t="s">
        <v>83</v>
      </c>
      <c r="BC3" s="117" t="s">
        <v>83</v>
      </c>
      <c r="BD3" s="117" t="s">
        <v>83</v>
      </c>
      <c r="BE3" s="117" t="s">
        <v>83</v>
      </c>
      <c r="BF3" s="117" t="s">
        <v>83</v>
      </c>
      <c r="BG3" s="117" t="s">
        <v>83</v>
      </c>
      <c r="BH3" s="117" t="s">
        <v>83</v>
      </c>
      <c r="BI3" s="117" t="s">
        <v>83</v>
      </c>
      <c r="BJ3" s="117" t="s">
        <v>83</v>
      </c>
      <c r="BK3" s="117" t="s">
        <v>83</v>
      </c>
      <c r="BL3" s="117" t="s">
        <v>83</v>
      </c>
      <c r="BM3" s="117" t="s">
        <v>83</v>
      </c>
      <c r="BN3" s="117" t="s">
        <v>83</v>
      </c>
      <c r="BP3" s="178" t="s">
        <v>74</v>
      </c>
      <c r="BQ3" s="178" t="s">
        <v>75</v>
      </c>
      <c r="BR3" s="178" t="s">
        <v>76</v>
      </c>
      <c r="BS3" s="178" t="s">
        <v>77</v>
      </c>
      <c r="BT3" s="178" t="s">
        <v>16</v>
      </c>
      <c r="BU3" s="178" t="s">
        <v>134</v>
      </c>
      <c r="BV3" s="178" t="s">
        <v>191</v>
      </c>
      <c r="BW3" s="178" t="s">
        <v>193</v>
      </c>
    </row>
    <row r="4" spans="1:75" ht="75" x14ac:dyDescent="0.25">
      <c r="A4" s="174">
        <v>1</v>
      </c>
      <c r="B4" s="80">
        <f>IF(LEN(D4)&gt;0,VLOOKUP(D4,'1. Lists'!$E$3:$J$52,6,FALSE),"")</f>
        <v>22</v>
      </c>
      <c r="C4" s="80" t="str">
        <f>IF(LEN(D4)&gt;0,VLOOKUP(D4,'1. Lists'!$E$3:$F$52,2,FALSE),"")</f>
        <v>Technical Services</v>
      </c>
      <c r="D4" s="151" t="s">
        <v>379</v>
      </c>
      <c r="E4" s="179"/>
      <c r="F4" s="65" t="str">
        <f>IF(E4&gt;0,VLOOKUP(E4,'2. Top Layer'!$A:$C,3,FALSE),"")</f>
        <v/>
      </c>
      <c r="G4" s="65" t="str">
        <f>IF(E4&gt;0,VLOOKUP(E4,'2. Top Layer'!$A:$T,17,FALSE),"")</f>
        <v/>
      </c>
      <c r="H4" s="80">
        <f>IF(LEN(I4)&gt;0,VLOOKUP(I4,'1. Lists'!$T:$U,2,FALSE),"")</f>
        <v>74</v>
      </c>
      <c r="I4" s="152" t="s">
        <v>439</v>
      </c>
      <c r="J4" s="160"/>
      <c r="K4" s="80">
        <f>IF(LEN(L4)&gt;0,VLOOKUP(L4,'1. Lists'!$AK:$AL,2,FALSE),"")</f>
        <v>9</v>
      </c>
      <c r="L4" s="144" t="s">
        <v>159</v>
      </c>
      <c r="M4" s="168">
        <f>IF(LEN(N4)&gt;0,VLOOKUP(N4,'1. Lists'!$AN:$AQ,4,FALSE),"")</f>
        <v>2</v>
      </c>
      <c r="N4" s="180" t="s">
        <v>382</v>
      </c>
      <c r="O4" s="80">
        <f>IF(LEN(P4)&gt;0,VLOOKUP(P4,'1. Lists'!$AA:$AC,3,FALSE),"")</f>
        <v>5</v>
      </c>
      <c r="P4" s="143" t="s">
        <v>42</v>
      </c>
      <c r="Q4" s="73">
        <f>IF(LEN(R4)&gt;0,VLOOKUP(R4,'1. Lists'!$W:$Y,3,FALSE),"")</f>
        <v>1</v>
      </c>
      <c r="R4" s="142" t="s">
        <v>169</v>
      </c>
      <c r="S4" s="73">
        <f>IF(LEN(T4)&gt;0,VLOOKUP(T4,'1. Lists'!$AH:$AI,2,FALSE),"")</f>
        <v>11</v>
      </c>
      <c r="T4" s="146" t="s">
        <v>396</v>
      </c>
      <c r="U4" s="76">
        <f>IF(LEN(V4)&gt;0,VLOOKUP(V4,'1. Lists'!$AE:$AF,2,FALSE),"")</f>
        <v>11</v>
      </c>
      <c r="V4" s="181" t="s">
        <v>355</v>
      </c>
      <c r="W4" s="182"/>
      <c r="X4" s="183" t="str">
        <f>IF(W4&gt;0,VLOOKUP($W4,#REF!,4,FALSE),"")</f>
        <v/>
      </c>
      <c r="Y4" s="78" t="str">
        <f>IF(W4&gt;0,VLOOKUP($W4,#REF!,10,FALSE),"")</f>
        <v/>
      </c>
      <c r="Z4" s="150" t="s">
        <v>555</v>
      </c>
      <c r="AA4" s="150" t="s">
        <v>482</v>
      </c>
      <c r="AB4" s="80">
        <f>IF(LEN(AC4)&gt;0,VLOOKUP(AC4,'1. Lists'!$AV$3:$AX$7,3,FALSE),"")</f>
        <v>2</v>
      </c>
      <c r="AC4" s="151" t="s">
        <v>13</v>
      </c>
      <c r="AD4" s="80">
        <f>IF(LEN(AE4)&gt;0,VLOOKUP(AE4,'1. Lists'!$AZ$3:$BB$7,3,FALSE),"")</f>
        <v>1</v>
      </c>
      <c r="AE4" s="152" t="s">
        <v>15</v>
      </c>
      <c r="AF4" s="160"/>
      <c r="AG4" s="160"/>
      <c r="AH4" s="80">
        <f>IF(LEN(AI4)&gt;0,VLOOKUP(AI4,'1. Lists'!$BD$3:$BF$15,3,FALSE),"")</f>
        <v>5</v>
      </c>
      <c r="AI4" s="142" t="s">
        <v>340</v>
      </c>
      <c r="AJ4" s="143" t="s">
        <v>68</v>
      </c>
      <c r="AK4" s="144" t="s">
        <v>461</v>
      </c>
      <c r="AL4" s="180" t="s">
        <v>379</v>
      </c>
      <c r="AM4" s="154">
        <v>1</v>
      </c>
      <c r="AN4" s="160"/>
      <c r="AO4" s="184" t="s">
        <v>587</v>
      </c>
      <c r="AP4" s="184" t="s">
        <v>574</v>
      </c>
      <c r="AQ4" s="160"/>
      <c r="AR4" s="160"/>
      <c r="AS4" s="160"/>
      <c r="AT4" s="160"/>
      <c r="AU4" s="144" t="s">
        <v>460</v>
      </c>
      <c r="AV4" s="80" t="str">
        <f>IF(LEN(AW4)&gt;0,VLOOKUP(AW4,'1. Lists'!$BQ:$BR,2,FALSE),"")</f>
        <v>CO</v>
      </c>
      <c r="AW4" s="151" t="s">
        <v>12</v>
      </c>
      <c r="AX4" s="80">
        <f>IF(LEN(AY4)&gt;0,VLOOKUP(AY4,'1. Lists'!$BU$3:$BW$5,3,FALSE),"")</f>
        <v>3</v>
      </c>
      <c r="AY4" s="152" t="s">
        <v>83</v>
      </c>
      <c r="AZ4" s="155">
        <v>1</v>
      </c>
      <c r="BA4" s="159">
        <f t="shared" ref="BA4:BA29" si="0">IF(LEN(AZ4)&gt;0,AZ4,"")</f>
        <v>1</v>
      </c>
      <c r="BC4" s="158">
        <v>0</v>
      </c>
      <c r="BD4" s="158">
        <v>0</v>
      </c>
      <c r="BE4" s="158">
        <v>0</v>
      </c>
      <c r="BF4" s="158">
        <v>0</v>
      </c>
      <c r="BG4" s="158">
        <v>0</v>
      </c>
      <c r="BH4" s="158">
        <v>0</v>
      </c>
      <c r="BI4" s="158">
        <v>0</v>
      </c>
      <c r="BJ4" s="158">
        <v>0</v>
      </c>
      <c r="BK4" s="158">
        <v>0</v>
      </c>
      <c r="BL4" s="158">
        <v>0</v>
      </c>
      <c r="BM4" s="158">
        <v>1</v>
      </c>
      <c r="BN4" s="158">
        <v>0</v>
      </c>
      <c r="BP4" s="80">
        <f t="shared" ref="BP4:BP29" si="1">MAX(BC4:BN4)</f>
        <v>1</v>
      </c>
      <c r="BQ4" s="80">
        <f t="shared" ref="BQ4:BQ29" si="2">SUM(BC4:BN4)</f>
        <v>1</v>
      </c>
      <c r="BR4" s="80">
        <f t="shared" ref="BR4:BR29" si="3">IF(SUM(BC4:BN4)&gt;0,SUM(BC4:BN4)/COUNTIF(BC4:BN4,"&gt;0"),0)</f>
        <v>1</v>
      </c>
      <c r="BS4" s="80">
        <v>0</v>
      </c>
      <c r="BU4" s="80">
        <f t="shared" ref="BU4:BU29" si="4">IF(SUM(BC4:BN4)&gt;0,SUM(BC4:BN4)/COUNTIF(BC4:BN4,"&gt;0"),0)</f>
        <v>1</v>
      </c>
      <c r="BV4" s="80">
        <f t="shared" ref="BV4:BV29" si="5">IF(BN4&gt;0,BN4,IF(BM4&gt;0,BM4,IF(BL4&gt;0,BL4,IF(BK4&gt;0,BK4,IF(BJ4&gt;0,BJ4,IF(BI4&gt;0,BI4,IF(BH4&gt;0,BH4,IF(BG4&gt;0,BG4,IF(BF4&gt;0,BF4,IF(BE4&gt;0,BE4,IF(BD4&gt;0,BD4,BC4)))))))))))</f>
        <v>1</v>
      </c>
      <c r="BW4" s="80">
        <f t="shared" ref="BW4:BW29" si="6">IF(BN4&gt;0,BN4,IF(BM4&gt;0,BM4,IF(BL4&gt;0,BL4,IF(BK4&gt;0,BK4,IF(BJ4&gt;0,BJ4,IF(BI4&gt;0,BI4,IF(BH4&gt;0,BH4,IF(BG4&gt;0,BG4,IF(BF4&gt;0,BF4,IF(BE4&gt;0,BE4,IF(BD4&gt;0,BD4,BC4)))))))))))</f>
        <v>1</v>
      </c>
    </row>
    <row r="5" spans="1:75" ht="75" x14ac:dyDescent="0.25">
      <c r="A5" s="174">
        <f t="shared" ref="A5:A29" si="7">IF(COUNTBLANK(B5:BN5)&lt;65,A4+1,0)</f>
        <v>2</v>
      </c>
      <c r="B5" s="80">
        <f>IF(LEN(D5)&gt;0,VLOOKUP(D5,'1. Lists'!$E$3:$J$52,6,FALSE),"")</f>
        <v>22</v>
      </c>
      <c r="C5" s="80" t="str">
        <f>IF(LEN(D5)&gt;0,VLOOKUP(D5,'1. Lists'!$E$3:$F$52,2,FALSE),"")</f>
        <v>Technical Services</v>
      </c>
      <c r="D5" s="151" t="s">
        <v>379</v>
      </c>
      <c r="E5" s="179"/>
      <c r="F5" s="65" t="str">
        <f>IF(E5&gt;0,VLOOKUP(E5,'2. Top Layer'!$A:$C,3,FALSE),"")</f>
        <v/>
      </c>
      <c r="G5" s="65" t="str">
        <f>IF(E5&gt;0,VLOOKUP(E5,'2. Top Layer'!$A:$T,17,FALSE),"")</f>
        <v/>
      </c>
      <c r="H5" s="80">
        <f>IF(LEN(I5)&gt;0,VLOOKUP(I5,'1. Lists'!$T:$U,2,FALSE),"")</f>
        <v>63</v>
      </c>
      <c r="I5" s="152" t="s">
        <v>441</v>
      </c>
      <c r="J5" s="160"/>
      <c r="K5" s="80">
        <f>IF(LEN(L5)&gt;0,VLOOKUP(L5,'1. Lists'!$AK:$AL,2,FALSE),"")</f>
        <v>9</v>
      </c>
      <c r="L5" s="144" t="s">
        <v>159</v>
      </c>
      <c r="M5" s="168">
        <f>IF(LEN(N5)&gt;0,VLOOKUP(N5,'1. Lists'!$AN:$AQ,4,FALSE),"")</f>
        <v>2</v>
      </c>
      <c r="N5" s="180" t="s">
        <v>382</v>
      </c>
      <c r="O5" s="80">
        <f>IF(LEN(P5)&gt;0,VLOOKUP(P5,'1. Lists'!$AA:$AC,3,FALSE),"")</f>
        <v>5</v>
      </c>
      <c r="P5" s="143" t="s">
        <v>42</v>
      </c>
      <c r="Q5" s="73">
        <f>IF(LEN(R5)&gt;0,VLOOKUP(R5,'1. Lists'!$W:$Y,3,FALSE),"")</f>
        <v>1</v>
      </c>
      <c r="R5" s="142" t="s">
        <v>169</v>
      </c>
      <c r="S5" s="73">
        <f>IF(LEN(T5)&gt;0,VLOOKUP(T5,'1. Lists'!$AH:$AI,2,FALSE),"")</f>
        <v>13</v>
      </c>
      <c r="T5" s="146" t="s">
        <v>398</v>
      </c>
      <c r="U5" s="76">
        <f>IF(LEN(V5)&gt;0,VLOOKUP(V5,'1. Lists'!$AE:$AF,2,FALSE),"")</f>
        <v>11</v>
      </c>
      <c r="V5" s="181" t="s">
        <v>355</v>
      </c>
      <c r="W5" s="182"/>
      <c r="X5" s="183" t="s">
        <v>759</v>
      </c>
      <c r="Y5" s="78" t="s">
        <v>759</v>
      </c>
      <c r="Z5" s="150" t="s">
        <v>775</v>
      </c>
      <c r="AA5" s="150" t="s">
        <v>776</v>
      </c>
      <c r="AB5" s="80">
        <f>IF(LEN(AC5)&gt;0,VLOOKUP(AC5,'1. Lists'!$AV$3:$AX$7,3,FALSE),"")</f>
        <v>2</v>
      </c>
      <c r="AC5" s="151" t="s">
        <v>13</v>
      </c>
      <c r="AD5" s="80">
        <f>IF(LEN(AE5)&gt;0,VLOOKUP(AE5,'1. Lists'!$AZ$3:$BB$7,3,FALSE),"")</f>
        <v>2</v>
      </c>
      <c r="AE5" s="152" t="s">
        <v>9</v>
      </c>
      <c r="AF5" s="160"/>
      <c r="AG5" s="160"/>
      <c r="AH5" s="80">
        <f>IF(LEN(AI5)&gt;0,VLOOKUP(AI5,'1. Lists'!$BD$3:$BF$15,3,FALSE),"")</f>
        <v>5</v>
      </c>
      <c r="AI5" s="142" t="s">
        <v>340</v>
      </c>
      <c r="AJ5" s="143" t="s">
        <v>68</v>
      </c>
      <c r="AK5" s="144" t="s">
        <v>461</v>
      </c>
      <c r="AL5" s="180" t="s">
        <v>379</v>
      </c>
      <c r="AM5" s="154" t="s">
        <v>762</v>
      </c>
      <c r="AN5" s="160"/>
      <c r="AO5" s="154" t="s">
        <v>777</v>
      </c>
      <c r="AP5" s="154" t="s">
        <v>778</v>
      </c>
      <c r="AQ5" s="160"/>
      <c r="AR5" s="160"/>
      <c r="AS5" s="160"/>
      <c r="AT5" s="160"/>
      <c r="AU5" s="144" t="s">
        <v>460</v>
      </c>
      <c r="AV5" s="80" t="str">
        <f>IF(LEN(AW5)&gt;0,VLOOKUP(AW5,'1. Lists'!$BQ:$BR,2,FALSE),"")</f>
        <v>STD</v>
      </c>
      <c r="AW5" s="151" t="s">
        <v>78</v>
      </c>
      <c r="AX5" s="80">
        <f>IF(LEN(AY5)&gt;0,VLOOKUP(AY5,'1. Lists'!$BU$3:$BW$5,3,FALSE),"")</f>
        <v>2</v>
      </c>
      <c r="AY5" s="152" t="s">
        <v>82</v>
      </c>
      <c r="AZ5" s="155">
        <v>100</v>
      </c>
      <c r="BA5" s="159">
        <f t="shared" si="0"/>
        <v>100</v>
      </c>
      <c r="BC5" s="158">
        <v>0</v>
      </c>
      <c r="BD5" s="158">
        <v>100</v>
      </c>
      <c r="BE5" s="158">
        <v>0</v>
      </c>
      <c r="BF5" s="158">
        <v>0</v>
      </c>
      <c r="BG5" s="158">
        <v>0</v>
      </c>
      <c r="BH5" s="158">
        <v>0</v>
      </c>
      <c r="BI5" s="158">
        <v>0</v>
      </c>
      <c r="BJ5" s="158">
        <v>0</v>
      </c>
      <c r="BK5" s="158">
        <v>0</v>
      </c>
      <c r="BL5" s="158">
        <v>0</v>
      </c>
      <c r="BM5" s="158">
        <v>0</v>
      </c>
      <c r="BN5" s="158">
        <v>0</v>
      </c>
      <c r="BP5" s="80">
        <f t="shared" si="1"/>
        <v>100</v>
      </c>
      <c r="BQ5" s="80">
        <f t="shared" si="2"/>
        <v>100</v>
      </c>
      <c r="BR5" s="80">
        <f t="shared" si="3"/>
        <v>100</v>
      </c>
      <c r="BS5" s="80">
        <v>0</v>
      </c>
      <c r="BU5" s="80">
        <f t="shared" si="4"/>
        <v>100</v>
      </c>
      <c r="BV5" s="80">
        <f t="shared" si="5"/>
        <v>100</v>
      </c>
      <c r="BW5" s="80">
        <f t="shared" si="6"/>
        <v>100</v>
      </c>
    </row>
    <row r="6" spans="1:75" ht="75" x14ac:dyDescent="0.25">
      <c r="A6" s="174">
        <f t="shared" si="7"/>
        <v>3</v>
      </c>
      <c r="B6" s="80">
        <f>IF(LEN(D6)&gt;0,VLOOKUP(D6,'1. Lists'!$E$3:$J$52,6,FALSE),"")</f>
        <v>22</v>
      </c>
      <c r="C6" s="80" t="str">
        <f>IF(LEN(D6)&gt;0,VLOOKUP(D6,'1. Lists'!$E$3:$F$52,2,FALSE),"")</f>
        <v>Technical Services</v>
      </c>
      <c r="D6" s="151" t="s">
        <v>379</v>
      </c>
      <c r="E6" s="179"/>
      <c r="F6" s="65" t="str">
        <f>IF(E6&gt;0,VLOOKUP(E6,'2. Top Layer'!$A:$C,3,FALSE),"")</f>
        <v/>
      </c>
      <c r="G6" s="65" t="str">
        <f>IF(E6&gt;0,VLOOKUP(E6,'2. Top Layer'!$A:$T,17,FALSE),"")</f>
        <v/>
      </c>
      <c r="H6" s="80">
        <f>IF(LEN(I6)&gt;0,VLOOKUP(I6,'1. Lists'!$T:$U,2,FALSE),"")</f>
        <v>63</v>
      </c>
      <c r="I6" s="152" t="s">
        <v>441</v>
      </c>
      <c r="J6" s="160"/>
      <c r="K6" s="80">
        <f>IF(LEN(L6)&gt;0,VLOOKUP(L6,'1. Lists'!$AK:$AL,2,FALSE),"")</f>
        <v>9</v>
      </c>
      <c r="L6" s="144" t="s">
        <v>159</v>
      </c>
      <c r="M6" s="168">
        <f>IF(LEN(N6)&gt;0,VLOOKUP(N6,'1. Lists'!$AN:$AQ,4,FALSE),"")</f>
        <v>2</v>
      </c>
      <c r="N6" s="180" t="s">
        <v>382</v>
      </c>
      <c r="O6" s="80">
        <f>IF(LEN(P6)&gt;0,VLOOKUP(P6,'1. Lists'!$AA:$AC,3,FALSE),"")</f>
        <v>5</v>
      </c>
      <c r="P6" s="143" t="s">
        <v>42</v>
      </c>
      <c r="Q6" s="73">
        <f>IF(LEN(R6)&gt;0,VLOOKUP(R6,'1. Lists'!$W:$Y,3,FALSE),"")</f>
        <v>1</v>
      </c>
      <c r="R6" s="142" t="s">
        <v>169</v>
      </c>
      <c r="S6" s="73">
        <f>IF(LEN(T6)&gt;0,VLOOKUP(T6,'1. Lists'!$AH:$AI,2,FALSE),"")</f>
        <v>13</v>
      </c>
      <c r="T6" s="146" t="s">
        <v>398</v>
      </c>
      <c r="U6" s="76">
        <f>IF(LEN(V6)&gt;0,VLOOKUP(V6,'1. Lists'!$AE:$AF,2,FALSE),"")</f>
        <v>11</v>
      </c>
      <c r="V6" s="181" t="s">
        <v>355</v>
      </c>
      <c r="W6" s="182"/>
      <c r="X6" s="183" t="s">
        <v>759</v>
      </c>
      <c r="Y6" s="78" t="s">
        <v>759</v>
      </c>
      <c r="Z6" s="150" t="s">
        <v>779</v>
      </c>
      <c r="AA6" s="150" t="s">
        <v>769</v>
      </c>
      <c r="AB6" s="80">
        <f>IF(LEN(AC6)&gt;0,VLOOKUP(AC6,'1. Lists'!$AV$3:$AX$7,3,FALSE),"")</f>
        <v>2</v>
      </c>
      <c r="AC6" s="151" t="s">
        <v>13</v>
      </c>
      <c r="AD6" s="80">
        <f>IF(LEN(AE6)&gt;0,VLOOKUP(AE6,'1. Lists'!$AZ$3:$BB$7,3,FALSE),"")</f>
        <v>2</v>
      </c>
      <c r="AE6" s="152" t="s">
        <v>9</v>
      </c>
      <c r="AF6" s="160"/>
      <c r="AG6" s="160"/>
      <c r="AH6" s="80">
        <f>IF(LEN(AI6)&gt;0,VLOOKUP(AI6,'1. Lists'!$BD$3:$BF$15,3,FALSE),"")</f>
        <v>5</v>
      </c>
      <c r="AI6" s="142" t="s">
        <v>340</v>
      </c>
      <c r="AJ6" s="143" t="s">
        <v>68</v>
      </c>
      <c r="AK6" s="144" t="s">
        <v>461</v>
      </c>
      <c r="AL6" s="180" t="s">
        <v>379</v>
      </c>
      <c r="AM6" s="154" t="s">
        <v>762</v>
      </c>
      <c r="AN6" s="160"/>
      <c r="AO6" s="154" t="s">
        <v>780</v>
      </c>
      <c r="AP6" s="154" t="s">
        <v>781</v>
      </c>
      <c r="AQ6" s="160"/>
      <c r="AR6" s="160"/>
      <c r="AS6" s="160"/>
      <c r="AT6" s="160"/>
      <c r="AU6" s="144" t="s">
        <v>460</v>
      </c>
      <c r="AV6" s="80" t="str">
        <f>IF(LEN(AW6)&gt;0,VLOOKUP(AW6,'1. Lists'!$BQ:$BR,2,FALSE),"")</f>
        <v>ACC</v>
      </c>
      <c r="AW6" s="151" t="s">
        <v>14</v>
      </c>
      <c r="AX6" s="80">
        <f>IF(LEN(AY6)&gt;0,VLOOKUP(AY6,'1. Lists'!$BU$3:$BW$5,3,FALSE),"")</f>
        <v>3</v>
      </c>
      <c r="AY6" s="152" t="s">
        <v>83</v>
      </c>
      <c r="AZ6" s="155">
        <v>2</v>
      </c>
      <c r="BA6" s="159">
        <f t="shared" si="0"/>
        <v>2</v>
      </c>
      <c r="BC6" s="158">
        <v>0</v>
      </c>
      <c r="BD6" s="158">
        <v>1</v>
      </c>
      <c r="BE6" s="158">
        <v>0</v>
      </c>
      <c r="BF6" s="158">
        <v>0</v>
      </c>
      <c r="BG6" s="158">
        <v>0</v>
      </c>
      <c r="BH6" s="158">
        <v>0</v>
      </c>
      <c r="BI6" s="158">
        <v>0</v>
      </c>
      <c r="BJ6" s="158">
        <v>1</v>
      </c>
      <c r="BK6" s="158">
        <v>0</v>
      </c>
      <c r="BL6" s="158">
        <v>0</v>
      </c>
      <c r="BM6" s="158">
        <v>0</v>
      </c>
      <c r="BN6" s="158">
        <v>0</v>
      </c>
      <c r="BP6" s="80">
        <f t="shared" si="1"/>
        <v>1</v>
      </c>
      <c r="BQ6" s="80">
        <f t="shared" si="2"/>
        <v>2</v>
      </c>
      <c r="BR6" s="80">
        <f t="shared" si="3"/>
        <v>1</v>
      </c>
      <c r="BS6" s="80">
        <v>0</v>
      </c>
      <c r="BU6" s="80">
        <f t="shared" si="4"/>
        <v>1</v>
      </c>
      <c r="BV6" s="80">
        <f t="shared" si="5"/>
        <v>1</v>
      </c>
      <c r="BW6" s="80">
        <f t="shared" si="6"/>
        <v>1</v>
      </c>
    </row>
    <row r="7" spans="1:75" ht="75" x14ac:dyDescent="0.25">
      <c r="A7" s="174">
        <f t="shared" si="7"/>
        <v>4</v>
      </c>
      <c r="B7" s="80">
        <f>IF(LEN(D7)&gt;0,VLOOKUP(D7,'1. Lists'!$E$3:$J$52,6,FALSE),"")</f>
        <v>22</v>
      </c>
      <c r="C7" s="80" t="str">
        <f>IF(LEN(D7)&gt;0,VLOOKUP(D7,'1. Lists'!$E$3:$F$52,2,FALSE),"")</f>
        <v>Technical Services</v>
      </c>
      <c r="D7" s="151" t="s">
        <v>379</v>
      </c>
      <c r="E7" s="179"/>
      <c r="F7" s="65" t="str">
        <f>IF(E7&gt;0,VLOOKUP(E7,'2. Top Layer'!$A:$C,3,FALSE),"")</f>
        <v/>
      </c>
      <c r="G7" s="65" t="str">
        <f>IF(E7&gt;0,VLOOKUP(E7,'2. Top Layer'!$A:$T,17,FALSE),"")</f>
        <v/>
      </c>
      <c r="H7" s="80">
        <f>IF(LEN(I7)&gt;0,VLOOKUP(I7,'1. Lists'!$T:$U,2,FALSE),"")</f>
        <v>63</v>
      </c>
      <c r="I7" s="152" t="s">
        <v>441</v>
      </c>
      <c r="J7" s="160"/>
      <c r="K7" s="80">
        <f>IF(LEN(L7)&gt;0,VLOOKUP(L7,'1. Lists'!$AK:$AL,2,FALSE),"")</f>
        <v>9</v>
      </c>
      <c r="L7" s="144" t="s">
        <v>159</v>
      </c>
      <c r="M7" s="168">
        <f>IF(LEN(N7)&gt;0,VLOOKUP(N7,'1. Lists'!$AN:$AQ,4,FALSE),"")</f>
        <v>2</v>
      </c>
      <c r="N7" s="180" t="s">
        <v>382</v>
      </c>
      <c r="O7" s="80">
        <f>IF(LEN(P7)&gt;0,VLOOKUP(P7,'1. Lists'!$AA:$AC,3,FALSE),"")</f>
        <v>5</v>
      </c>
      <c r="P7" s="143" t="s">
        <v>42</v>
      </c>
      <c r="Q7" s="73">
        <f>IF(LEN(R7)&gt;0,VLOOKUP(R7,'1. Lists'!$W:$Y,3,FALSE),"")</f>
        <v>1</v>
      </c>
      <c r="R7" s="142" t="s">
        <v>169</v>
      </c>
      <c r="S7" s="73">
        <f>IF(LEN(T7)&gt;0,VLOOKUP(T7,'1. Lists'!$AH:$AI,2,FALSE),"")</f>
        <v>11</v>
      </c>
      <c r="T7" s="146" t="s">
        <v>396</v>
      </c>
      <c r="U7" s="76">
        <f>IF(LEN(V7)&gt;0,VLOOKUP(V7,'1. Lists'!$AE:$AF,2,FALSE),"")</f>
        <v>11</v>
      </c>
      <c r="V7" s="181" t="s">
        <v>355</v>
      </c>
      <c r="W7" s="182"/>
      <c r="X7" s="183"/>
      <c r="Z7" s="150" t="s">
        <v>787</v>
      </c>
      <c r="AA7" s="150" t="s">
        <v>788</v>
      </c>
      <c r="AB7" s="80">
        <f>IF(LEN(AC7)&gt;0,VLOOKUP(AC7,'1. Lists'!$AV$3:$AX$7,3,FALSE),"")</f>
        <v>2</v>
      </c>
      <c r="AC7" s="151" t="s">
        <v>13</v>
      </c>
      <c r="AD7" s="80">
        <f>IF(LEN(AE7)&gt;0,VLOOKUP(AE7,'1. Lists'!$AZ$3:$BB$7,3,FALSE),"")</f>
        <v>1</v>
      </c>
      <c r="AE7" s="152" t="s">
        <v>15</v>
      </c>
      <c r="AF7" s="160"/>
      <c r="AG7" s="160"/>
      <c r="AH7" s="80">
        <f>IF(LEN(AI7)&gt;0,VLOOKUP(AI7,'1. Lists'!$BD$3:$BF$15,3,FALSE),"")</f>
        <v>5</v>
      </c>
      <c r="AI7" s="142" t="s">
        <v>340</v>
      </c>
      <c r="AJ7" s="143" t="s">
        <v>68</v>
      </c>
      <c r="AK7" s="144" t="s">
        <v>461</v>
      </c>
      <c r="AL7" s="180" t="s">
        <v>379</v>
      </c>
      <c r="AM7" s="185" t="s">
        <v>762</v>
      </c>
      <c r="AN7" s="160"/>
      <c r="AO7" s="154" t="s">
        <v>789</v>
      </c>
      <c r="AP7" s="184" t="s">
        <v>790</v>
      </c>
      <c r="AQ7" s="160"/>
      <c r="AR7" s="160"/>
      <c r="AS7" s="160"/>
      <c r="AT7" s="160"/>
      <c r="AU7" s="144" t="s">
        <v>460</v>
      </c>
      <c r="AV7" s="80" t="str">
        <f>IF(LEN(AW7)&gt;0,VLOOKUP(AW7,'1. Lists'!$BQ:$BR,2,FALSE),"")</f>
        <v>CO</v>
      </c>
      <c r="AW7" s="151" t="s">
        <v>12</v>
      </c>
      <c r="AX7" s="80">
        <f>IF(LEN(AY7)&gt;0,VLOOKUP(AY7,'1. Lists'!$BU$3:$BW$5,3,FALSE),"")</f>
        <v>3</v>
      </c>
      <c r="AY7" s="152" t="s">
        <v>83</v>
      </c>
      <c r="AZ7" s="155">
        <v>1</v>
      </c>
      <c r="BA7" s="159">
        <f t="shared" si="0"/>
        <v>1</v>
      </c>
      <c r="BC7" s="158">
        <v>0</v>
      </c>
      <c r="BD7" s="158">
        <v>0</v>
      </c>
      <c r="BE7" s="158">
        <v>0</v>
      </c>
      <c r="BF7" s="158">
        <v>1</v>
      </c>
      <c r="BG7" s="158">
        <v>0</v>
      </c>
      <c r="BH7" s="158">
        <v>0</v>
      </c>
      <c r="BI7" s="158">
        <v>0</v>
      </c>
      <c r="BJ7" s="158">
        <v>0</v>
      </c>
      <c r="BK7" s="158">
        <v>0</v>
      </c>
      <c r="BL7" s="158">
        <v>0</v>
      </c>
      <c r="BM7" s="158">
        <v>0</v>
      </c>
      <c r="BN7" s="158">
        <v>0</v>
      </c>
      <c r="BP7" s="80">
        <f t="shared" si="1"/>
        <v>1</v>
      </c>
      <c r="BQ7" s="80">
        <f t="shared" si="2"/>
        <v>1</v>
      </c>
      <c r="BR7" s="80">
        <f t="shared" si="3"/>
        <v>1</v>
      </c>
      <c r="BU7" s="80">
        <f t="shared" si="4"/>
        <v>1</v>
      </c>
      <c r="BV7" s="80">
        <f t="shared" si="5"/>
        <v>1</v>
      </c>
      <c r="BW7" s="80">
        <f t="shared" si="6"/>
        <v>1</v>
      </c>
    </row>
    <row r="8" spans="1:75" ht="75" x14ac:dyDescent="0.25">
      <c r="A8" s="174">
        <f t="shared" si="7"/>
        <v>5</v>
      </c>
      <c r="B8" s="80">
        <f>IF(LEN(D8)&gt;0,VLOOKUP(D8,'1. Lists'!$E$3:$J$52,6,FALSE),"")</f>
        <v>22</v>
      </c>
      <c r="C8" s="80" t="str">
        <f>IF(LEN(D8)&gt;0,VLOOKUP(D8,'1. Lists'!$E$3:$F$52,2,FALSE),"")</f>
        <v>Technical Services</v>
      </c>
      <c r="D8" s="151" t="s">
        <v>379</v>
      </c>
      <c r="E8" s="179"/>
      <c r="F8" s="65" t="str">
        <f>IF(E8&gt;0,VLOOKUP(E8,'2. Top Layer'!$A:$C,3,FALSE),"")</f>
        <v/>
      </c>
      <c r="G8" s="65" t="str">
        <f>IF(E8&gt;0,VLOOKUP(E8,'2. Top Layer'!$A:$T,17,FALSE),"")</f>
        <v/>
      </c>
      <c r="H8" s="80">
        <f>IF(LEN(I8)&gt;0,VLOOKUP(I8,'1. Lists'!$T:$U,2,FALSE),"")</f>
        <v>63</v>
      </c>
      <c r="I8" s="152" t="s">
        <v>441</v>
      </c>
      <c r="J8" s="160"/>
      <c r="K8" s="80">
        <f>IF(LEN(L8)&gt;0,VLOOKUP(L8,'1. Lists'!$AK:$AL,2,FALSE),"")</f>
        <v>9</v>
      </c>
      <c r="L8" s="144" t="s">
        <v>159</v>
      </c>
      <c r="M8" s="168">
        <f>IF(LEN(N8)&gt;0,VLOOKUP(N8,'1. Lists'!$AN:$AQ,4,FALSE),"")</f>
        <v>2</v>
      </c>
      <c r="N8" s="180" t="s">
        <v>382</v>
      </c>
      <c r="O8" s="80">
        <f>IF(LEN(P8)&gt;0,VLOOKUP(P8,'1. Lists'!$AA:$AC,3,FALSE),"")</f>
        <v>5</v>
      </c>
      <c r="P8" s="143" t="s">
        <v>42</v>
      </c>
      <c r="Q8" s="73">
        <f>IF(LEN(R8)&gt;0,VLOOKUP(R8,'1. Lists'!$W:$Y,3,FALSE),"")</f>
        <v>1</v>
      </c>
      <c r="R8" s="142" t="s">
        <v>169</v>
      </c>
      <c r="S8" s="73">
        <f>IF(LEN(T8)&gt;0,VLOOKUP(T8,'1. Lists'!$AH:$AI,2,FALSE),"")</f>
        <v>11</v>
      </c>
      <c r="T8" s="146" t="s">
        <v>396</v>
      </c>
      <c r="U8" s="76">
        <f>IF(LEN(V8)&gt;0,VLOOKUP(V8,'1. Lists'!$AE:$AF,2,FALSE),"")</f>
        <v>11</v>
      </c>
      <c r="V8" s="181" t="s">
        <v>355</v>
      </c>
      <c r="W8" s="182"/>
      <c r="X8" s="183" t="str">
        <f>IF(W8&gt;0,VLOOKUP($W8,#REF!,4,FALSE),"")</f>
        <v/>
      </c>
      <c r="Y8" s="78" t="str">
        <f>IF(W8&gt;0,VLOOKUP($W8,#REF!,10,FALSE),"")</f>
        <v/>
      </c>
      <c r="Z8" s="150" t="s">
        <v>791</v>
      </c>
      <c r="AA8" s="150" t="s">
        <v>468</v>
      </c>
      <c r="AB8" s="80">
        <f>IF(LEN(AC8)&gt;0,VLOOKUP(AC8,'1. Lists'!$AV$3:$AX$7,3,FALSE),"")</f>
        <v>2</v>
      </c>
      <c r="AC8" s="151" t="s">
        <v>13</v>
      </c>
      <c r="AD8" s="80">
        <f>IF(LEN(AE8)&gt;0,VLOOKUP(AE8,'1. Lists'!$AZ$3:$BB$7,3,FALSE),"")</f>
        <v>2</v>
      </c>
      <c r="AE8" s="152" t="s">
        <v>9</v>
      </c>
      <c r="AF8" s="160"/>
      <c r="AG8" s="160"/>
      <c r="AH8" s="80">
        <f>IF(LEN(AI8)&gt;0,VLOOKUP(AI8,'1. Lists'!$BD$3:$BF$15,3,FALSE),"")</f>
        <v>5</v>
      </c>
      <c r="AI8" s="142" t="s">
        <v>340</v>
      </c>
      <c r="AJ8" s="143" t="s">
        <v>68</v>
      </c>
      <c r="AK8" s="144" t="s">
        <v>461</v>
      </c>
      <c r="AL8" s="180" t="s">
        <v>379</v>
      </c>
      <c r="AM8" s="154">
        <v>10</v>
      </c>
      <c r="AN8" s="160"/>
      <c r="AO8" s="154" t="s">
        <v>601</v>
      </c>
      <c r="AP8" s="184" t="s">
        <v>790</v>
      </c>
      <c r="AQ8" s="160"/>
      <c r="AR8" s="160"/>
      <c r="AS8" s="160"/>
      <c r="AT8" s="160"/>
      <c r="AU8" s="144" t="s">
        <v>460</v>
      </c>
      <c r="AV8" s="80" t="str">
        <f>IF(LEN(AW8)&gt;0,VLOOKUP(AW8,'1. Lists'!$BQ:$BR,2,FALSE),"")</f>
        <v>ACC</v>
      </c>
      <c r="AW8" s="151" t="s">
        <v>14</v>
      </c>
      <c r="AX8" s="80">
        <f>IF(LEN(AY8)&gt;0,VLOOKUP(AY8,'1. Lists'!$BU$3:$BW$5,3,FALSE),"")</f>
        <v>3</v>
      </c>
      <c r="AY8" s="152" t="s">
        <v>83</v>
      </c>
      <c r="AZ8" s="155">
        <v>12</v>
      </c>
      <c r="BA8" s="159">
        <f t="shared" si="0"/>
        <v>12</v>
      </c>
      <c r="BC8" s="158">
        <v>1</v>
      </c>
      <c r="BD8" s="158">
        <v>1</v>
      </c>
      <c r="BE8" s="158">
        <v>1</v>
      </c>
      <c r="BF8" s="158">
        <v>1</v>
      </c>
      <c r="BG8" s="158">
        <v>1</v>
      </c>
      <c r="BH8" s="158">
        <v>1</v>
      </c>
      <c r="BI8" s="158">
        <v>1</v>
      </c>
      <c r="BJ8" s="158">
        <v>1</v>
      </c>
      <c r="BK8" s="158">
        <v>1</v>
      </c>
      <c r="BL8" s="158">
        <v>1</v>
      </c>
      <c r="BM8" s="158">
        <v>1</v>
      </c>
      <c r="BN8" s="158">
        <v>1</v>
      </c>
      <c r="BP8" s="80">
        <f t="shared" si="1"/>
        <v>1</v>
      </c>
      <c r="BQ8" s="80">
        <f t="shared" si="2"/>
        <v>12</v>
      </c>
      <c r="BR8" s="80">
        <f t="shared" si="3"/>
        <v>1</v>
      </c>
      <c r="BS8" s="80">
        <v>0</v>
      </c>
      <c r="BU8" s="80">
        <f t="shared" si="4"/>
        <v>1</v>
      </c>
      <c r="BV8" s="80">
        <f t="shared" si="5"/>
        <v>1</v>
      </c>
      <c r="BW8" s="80">
        <f t="shared" si="6"/>
        <v>1</v>
      </c>
    </row>
    <row r="9" spans="1:75" ht="75" x14ac:dyDescent="0.25">
      <c r="A9" s="174">
        <f t="shared" si="7"/>
        <v>6</v>
      </c>
      <c r="B9" s="80">
        <f>IF(LEN(D9)&gt;0,VLOOKUP(D9,'1. Lists'!$E$3:$J$52,6,FALSE),"")</f>
        <v>22</v>
      </c>
      <c r="C9" s="80" t="str">
        <f>IF(LEN(D9)&gt;0,VLOOKUP(D9,'1. Lists'!$E$3:$F$52,2,FALSE),"")</f>
        <v>Technical Services</v>
      </c>
      <c r="D9" s="151" t="s">
        <v>379</v>
      </c>
      <c r="E9" s="179"/>
      <c r="H9" s="80">
        <f>IF(LEN(I9)&gt;0,VLOOKUP(I9,'1. Lists'!$T:$U,2,FALSE),"")</f>
        <v>63</v>
      </c>
      <c r="I9" s="152" t="s">
        <v>441</v>
      </c>
      <c r="J9" s="160"/>
      <c r="K9" s="80">
        <f>IF(LEN(L9)&gt;0,VLOOKUP(L9,'1. Lists'!$AK:$AL,2,FALSE),"")</f>
        <v>9</v>
      </c>
      <c r="L9" s="144" t="s">
        <v>159</v>
      </c>
      <c r="M9" s="168">
        <f>IF(LEN(N9)&gt;0,VLOOKUP(N9,'1. Lists'!$AN:$AQ,4,FALSE),"")</f>
        <v>2</v>
      </c>
      <c r="N9" s="180" t="s">
        <v>382</v>
      </c>
      <c r="O9" s="80">
        <f>IF(LEN(P9)&gt;0,VLOOKUP(P9,'1. Lists'!$AA:$AC,3,FALSE),"")</f>
        <v>4</v>
      </c>
      <c r="P9" s="143" t="s">
        <v>41</v>
      </c>
      <c r="Q9" s="73">
        <f>IF(LEN(R9)&gt;0,VLOOKUP(R9,'1. Lists'!$W:$Y,3,FALSE),"")</f>
        <v>1</v>
      </c>
      <c r="R9" s="142" t="s">
        <v>169</v>
      </c>
      <c r="S9" s="73">
        <f>IF(LEN(T9)&gt;0,VLOOKUP(T9,'1. Lists'!$AH:$AI,2,FALSE),"")</f>
        <v>11</v>
      </c>
      <c r="T9" s="146" t="s">
        <v>396</v>
      </c>
      <c r="U9" s="76">
        <f>IF(LEN(V9)&gt;0,VLOOKUP(V9,'1. Lists'!$AE:$AF,2,FALSE),"")</f>
        <v>11</v>
      </c>
      <c r="V9" s="181" t="s">
        <v>355</v>
      </c>
      <c r="W9" s="182"/>
      <c r="X9" s="183"/>
      <c r="Z9" s="150" t="s">
        <v>792</v>
      </c>
      <c r="AA9" s="150" t="s">
        <v>739</v>
      </c>
      <c r="AB9" s="80">
        <f>IF(LEN(AC9)&gt;0,VLOOKUP(AC9,'1. Lists'!$AV$3:$AX$7,3,FALSE),"")</f>
        <v>2</v>
      </c>
      <c r="AC9" s="151" t="s">
        <v>13</v>
      </c>
      <c r="AD9" s="80">
        <f>IF(LEN(AE9)&gt;0,VLOOKUP(AE9,'1. Lists'!$AZ$3:$BB$7,3,FALSE),"")</f>
        <v>2</v>
      </c>
      <c r="AE9" s="152" t="s">
        <v>9</v>
      </c>
      <c r="AF9" s="160"/>
      <c r="AG9" s="160"/>
      <c r="AH9" s="80">
        <f>IF(LEN(AI9)&gt;0,VLOOKUP(AI9,'1. Lists'!$BD$3:$BF$15,3,FALSE),"")</f>
        <v>5</v>
      </c>
      <c r="AI9" s="142" t="s">
        <v>340</v>
      </c>
      <c r="AJ9" s="143" t="s">
        <v>68</v>
      </c>
      <c r="AK9" s="144" t="s">
        <v>461</v>
      </c>
      <c r="AL9" s="180" t="s">
        <v>379</v>
      </c>
      <c r="AM9" s="185" t="s">
        <v>762</v>
      </c>
      <c r="AN9" s="160"/>
      <c r="AO9" s="154" t="s">
        <v>565</v>
      </c>
      <c r="AP9" s="184" t="s">
        <v>790</v>
      </c>
      <c r="AQ9" s="160"/>
      <c r="AR9" s="160"/>
      <c r="AS9" s="160"/>
      <c r="AT9" s="160"/>
      <c r="AU9" s="144" t="s">
        <v>460</v>
      </c>
      <c r="AV9" s="80" t="str">
        <f>IF(LEN(AW9)&gt;0,VLOOKUP(AW9,'1. Lists'!$BQ:$BR,2,FALSE),"")</f>
        <v>ACC</v>
      </c>
      <c r="AW9" s="151" t="s">
        <v>14</v>
      </c>
      <c r="AX9" s="80">
        <f>IF(LEN(AY9)&gt;0,VLOOKUP(AY9,'1. Lists'!$BU$3:$BW$5,3,FALSE),"")</f>
        <v>3</v>
      </c>
      <c r="AY9" s="152" t="s">
        <v>83</v>
      </c>
      <c r="AZ9" s="155">
        <v>4</v>
      </c>
      <c r="BA9" s="159">
        <f t="shared" si="0"/>
        <v>4</v>
      </c>
      <c r="BC9" s="158">
        <v>0</v>
      </c>
      <c r="BD9" s="158">
        <v>0</v>
      </c>
      <c r="BE9" s="158">
        <v>1</v>
      </c>
      <c r="BF9" s="158">
        <v>0</v>
      </c>
      <c r="BG9" s="158">
        <v>0</v>
      </c>
      <c r="BH9" s="158">
        <v>1</v>
      </c>
      <c r="BI9" s="158">
        <v>0</v>
      </c>
      <c r="BJ9" s="158">
        <v>0</v>
      </c>
      <c r="BK9" s="158">
        <v>1</v>
      </c>
      <c r="BL9" s="158">
        <v>0</v>
      </c>
      <c r="BM9" s="158">
        <v>0</v>
      </c>
      <c r="BN9" s="158">
        <v>1</v>
      </c>
      <c r="BP9" s="80">
        <f t="shared" si="1"/>
        <v>1</v>
      </c>
      <c r="BQ9" s="80">
        <f t="shared" si="2"/>
        <v>4</v>
      </c>
      <c r="BR9" s="80">
        <f t="shared" si="3"/>
        <v>1</v>
      </c>
      <c r="BU9" s="80">
        <f t="shared" si="4"/>
        <v>1</v>
      </c>
      <c r="BV9" s="80">
        <f t="shared" si="5"/>
        <v>1</v>
      </c>
      <c r="BW9" s="80">
        <f t="shared" si="6"/>
        <v>1</v>
      </c>
    </row>
    <row r="10" spans="1:75" ht="75" x14ac:dyDescent="0.25">
      <c r="A10" s="174">
        <f t="shared" si="7"/>
        <v>7</v>
      </c>
      <c r="B10" s="80">
        <f>IF(LEN(D10)&gt;0,VLOOKUP(D10,'1. Lists'!$E$3:$J$52,6,FALSE),"")</f>
        <v>22</v>
      </c>
      <c r="C10" s="80" t="str">
        <f>IF(LEN(D10)&gt;0,VLOOKUP(D10,'1. Lists'!$E$3:$F$52,2,FALSE),"")</f>
        <v>Technical Services</v>
      </c>
      <c r="D10" s="151" t="s">
        <v>379</v>
      </c>
      <c r="E10" s="179"/>
      <c r="H10" s="80">
        <f>IF(LEN(I10)&gt;0,VLOOKUP(I10,'1. Lists'!$T:$U,2,FALSE),"")</f>
        <v>63</v>
      </c>
      <c r="I10" s="152" t="s">
        <v>441</v>
      </c>
      <c r="J10" s="160"/>
      <c r="K10" s="80">
        <f>IF(LEN(L10)&gt;0,VLOOKUP(L10,'1. Lists'!$AK:$AL,2,FALSE),"")</f>
        <v>9</v>
      </c>
      <c r="L10" s="144" t="s">
        <v>159</v>
      </c>
      <c r="M10" s="168">
        <f>IF(LEN(N10)&gt;0,VLOOKUP(N10,'1. Lists'!$AN:$AQ,4,FALSE),"")</f>
        <v>2</v>
      </c>
      <c r="N10" s="180" t="s">
        <v>382</v>
      </c>
      <c r="O10" s="80">
        <f>IF(LEN(P10)&gt;0,VLOOKUP(P10,'1. Lists'!$AA:$AC,3,FALSE),"")</f>
        <v>4</v>
      </c>
      <c r="P10" s="143" t="s">
        <v>41</v>
      </c>
      <c r="Q10" s="73">
        <f>IF(LEN(R10)&gt;0,VLOOKUP(R10,'1. Lists'!$W:$Y,3,FALSE),"")</f>
        <v>1</v>
      </c>
      <c r="R10" s="142" t="s">
        <v>169</v>
      </c>
      <c r="S10" s="73">
        <f>IF(LEN(T10)&gt;0,VLOOKUP(T10,'1. Lists'!$AH:$AI,2,FALSE),"")</f>
        <v>11</v>
      </c>
      <c r="T10" s="146" t="s">
        <v>396</v>
      </c>
      <c r="U10" s="76">
        <f>IF(LEN(V10)&gt;0,VLOOKUP(V10,'1. Lists'!$AE:$AF,2,FALSE),"")</f>
        <v>11</v>
      </c>
      <c r="V10" s="181" t="s">
        <v>355</v>
      </c>
      <c r="W10" s="182"/>
      <c r="X10" s="183"/>
      <c r="Z10" s="150" t="s">
        <v>793</v>
      </c>
      <c r="AA10" s="150" t="s">
        <v>794</v>
      </c>
      <c r="AB10" s="80">
        <f>IF(LEN(AC10)&gt;0,VLOOKUP(AC10,'1. Lists'!$AV$3:$AX$7,3,FALSE),"")</f>
        <v>2</v>
      </c>
      <c r="AC10" s="151" t="s">
        <v>13</v>
      </c>
      <c r="AD10" s="80">
        <f>IF(LEN(AE10)&gt;0,VLOOKUP(AE10,'1. Lists'!$AZ$3:$BB$7,3,FALSE),"")</f>
        <v>2</v>
      </c>
      <c r="AE10" s="152" t="s">
        <v>9</v>
      </c>
      <c r="AF10" s="160"/>
      <c r="AG10" s="160"/>
      <c r="AH10" s="80">
        <f>IF(LEN(AI10)&gt;0,VLOOKUP(AI10,'1. Lists'!$BD$3:$BF$15,3,FALSE),"")</f>
        <v>5</v>
      </c>
      <c r="AI10" s="142" t="s">
        <v>340</v>
      </c>
      <c r="AJ10" s="143" t="s">
        <v>68</v>
      </c>
      <c r="AK10" s="144" t="s">
        <v>461</v>
      </c>
      <c r="AL10" s="180" t="s">
        <v>379</v>
      </c>
      <c r="AM10" s="185" t="s">
        <v>762</v>
      </c>
      <c r="AN10" s="160"/>
      <c r="AO10" s="154" t="s">
        <v>795</v>
      </c>
      <c r="AP10" s="184" t="s">
        <v>790</v>
      </c>
      <c r="AQ10" s="160"/>
      <c r="AR10" s="160"/>
      <c r="AS10" s="160"/>
      <c r="AT10" s="160"/>
      <c r="AU10" s="144" t="s">
        <v>460</v>
      </c>
      <c r="AV10" s="80" t="str">
        <f>IF(LEN(AW10)&gt;0,VLOOKUP(AW10,'1. Lists'!$BQ:$BR,2,FALSE),"")</f>
        <v>ACC</v>
      </c>
      <c r="AW10" s="151" t="s">
        <v>14</v>
      </c>
      <c r="AX10" s="80">
        <f>IF(LEN(AY10)&gt;0,VLOOKUP(AY10,'1. Lists'!$BU$3:$BW$5,3,FALSE),"")</f>
        <v>3</v>
      </c>
      <c r="AY10" s="152" t="s">
        <v>83</v>
      </c>
      <c r="AZ10" s="155">
        <v>12</v>
      </c>
      <c r="BA10" s="159">
        <f t="shared" si="0"/>
        <v>12</v>
      </c>
      <c r="BC10" s="158">
        <v>1</v>
      </c>
      <c r="BD10" s="158">
        <v>1</v>
      </c>
      <c r="BE10" s="158">
        <v>1</v>
      </c>
      <c r="BF10" s="158">
        <v>1</v>
      </c>
      <c r="BG10" s="158">
        <v>1</v>
      </c>
      <c r="BH10" s="158">
        <v>1</v>
      </c>
      <c r="BI10" s="158">
        <v>1</v>
      </c>
      <c r="BJ10" s="158">
        <v>1</v>
      </c>
      <c r="BK10" s="158">
        <v>1</v>
      </c>
      <c r="BL10" s="158">
        <v>1</v>
      </c>
      <c r="BM10" s="158">
        <v>1</v>
      </c>
      <c r="BN10" s="158">
        <v>1</v>
      </c>
      <c r="BP10" s="80">
        <f t="shared" si="1"/>
        <v>1</v>
      </c>
      <c r="BQ10" s="80">
        <f t="shared" si="2"/>
        <v>12</v>
      </c>
      <c r="BR10" s="80">
        <f t="shared" si="3"/>
        <v>1</v>
      </c>
      <c r="BU10" s="80">
        <f t="shared" si="4"/>
        <v>1</v>
      </c>
      <c r="BV10" s="80">
        <f t="shared" si="5"/>
        <v>1</v>
      </c>
      <c r="BW10" s="80">
        <f t="shared" si="6"/>
        <v>1</v>
      </c>
    </row>
    <row r="11" spans="1:75" ht="75" x14ac:dyDescent="0.25">
      <c r="A11" s="174">
        <f t="shared" si="7"/>
        <v>8</v>
      </c>
      <c r="B11" s="80">
        <f>IF(LEN(D11)&gt;0,VLOOKUP(D11,'1. Lists'!$E$3:$J$52,6,FALSE),"")</f>
        <v>22</v>
      </c>
      <c r="C11" s="80" t="str">
        <f>IF(LEN(D11)&gt;0,VLOOKUP(D11,'1. Lists'!$E$3:$F$52,2,FALSE),"")</f>
        <v>Technical Services</v>
      </c>
      <c r="D11" s="151" t="s">
        <v>379</v>
      </c>
      <c r="E11" s="179"/>
      <c r="H11" s="80">
        <f>IF(LEN(I11)&gt;0,VLOOKUP(I11,'1. Lists'!$T:$U,2,FALSE),"")</f>
        <v>63</v>
      </c>
      <c r="I11" s="152" t="s">
        <v>441</v>
      </c>
      <c r="J11" s="160"/>
      <c r="K11" s="80">
        <f>IF(LEN(L11)&gt;0,VLOOKUP(L11,'1. Lists'!$AK:$AL,2,FALSE),"")</f>
        <v>9</v>
      </c>
      <c r="L11" s="144" t="s">
        <v>159</v>
      </c>
      <c r="M11" s="168">
        <f>IF(LEN(N11)&gt;0,VLOOKUP(N11,'1. Lists'!$AN:$AQ,4,FALSE),"")</f>
        <v>2</v>
      </c>
      <c r="N11" s="180" t="s">
        <v>382</v>
      </c>
      <c r="O11" s="80">
        <f>IF(LEN(P11)&gt;0,VLOOKUP(P11,'1. Lists'!$AA:$AC,3,FALSE),"")</f>
        <v>4</v>
      </c>
      <c r="P11" s="143" t="s">
        <v>41</v>
      </c>
      <c r="Q11" s="73">
        <f>IF(LEN(R11)&gt;0,VLOOKUP(R11,'1. Lists'!$W:$Y,3,FALSE),"")</f>
        <v>1</v>
      </c>
      <c r="R11" s="142" t="s">
        <v>169</v>
      </c>
      <c r="S11" s="73">
        <f>IF(LEN(T11)&gt;0,VLOOKUP(T11,'1. Lists'!$AH:$AI,2,FALSE),"")</f>
        <v>11</v>
      </c>
      <c r="T11" s="146" t="s">
        <v>396</v>
      </c>
      <c r="U11" s="76">
        <f>IF(LEN(V11)&gt;0,VLOOKUP(V11,'1. Lists'!$AE:$AF,2,FALSE),"")</f>
        <v>11</v>
      </c>
      <c r="V11" s="181" t="s">
        <v>355</v>
      </c>
      <c r="W11" s="182"/>
      <c r="X11" s="183"/>
      <c r="Z11" s="150" t="s">
        <v>796</v>
      </c>
      <c r="AA11" s="150" t="s">
        <v>797</v>
      </c>
      <c r="AB11" s="80">
        <f>IF(LEN(AC11)&gt;0,VLOOKUP(AC11,'1. Lists'!$AV$3:$AX$7,3,FALSE),"")</f>
        <v>3</v>
      </c>
      <c r="AC11" s="151" t="s">
        <v>4</v>
      </c>
      <c r="AD11" s="80">
        <f>IF(LEN(AE11)&gt;0,VLOOKUP(AE11,'1. Lists'!$AZ$3:$BB$7,3,FALSE),"")</f>
        <v>2</v>
      </c>
      <c r="AE11" s="152" t="s">
        <v>9</v>
      </c>
      <c r="AF11" s="160"/>
      <c r="AG11" s="160"/>
      <c r="AH11" s="80">
        <f>IF(LEN(AI11)&gt;0,VLOOKUP(AI11,'1. Lists'!$BD$3:$BF$15,3,FALSE),"")</f>
        <v>5</v>
      </c>
      <c r="AI11" s="142" t="s">
        <v>340</v>
      </c>
      <c r="AJ11" s="143" t="s">
        <v>68</v>
      </c>
      <c r="AK11" s="144" t="s">
        <v>461</v>
      </c>
      <c r="AL11" s="180" t="s">
        <v>379</v>
      </c>
      <c r="AM11" s="185" t="s">
        <v>762</v>
      </c>
      <c r="AN11" s="160"/>
      <c r="AO11" s="185">
        <v>0.85</v>
      </c>
      <c r="AP11" s="184" t="s">
        <v>798</v>
      </c>
      <c r="AQ11" s="160"/>
      <c r="AR11" s="160"/>
      <c r="AS11" s="160"/>
      <c r="AT11" s="160"/>
      <c r="AU11" s="144" t="s">
        <v>460</v>
      </c>
      <c r="AV11" s="80" t="str">
        <f>IF(LEN(AW11)&gt;0,VLOOKUP(AW11,'1. Lists'!$BQ:$BR,2,FALSE),"")</f>
        <v>LAST</v>
      </c>
      <c r="AW11" s="151" t="s">
        <v>190</v>
      </c>
      <c r="AX11" s="80">
        <f>IF(LEN(AY11)&gt;0,VLOOKUP(AY11,'1. Lists'!$BU$3:$BW$5,3,FALSE),"")</f>
        <v>2</v>
      </c>
      <c r="AY11" s="152" t="s">
        <v>82</v>
      </c>
      <c r="AZ11" s="155">
        <v>85</v>
      </c>
      <c r="BA11" s="159">
        <f t="shared" si="0"/>
        <v>85</v>
      </c>
      <c r="BC11" s="158">
        <v>0</v>
      </c>
      <c r="BD11" s="158">
        <v>0</v>
      </c>
      <c r="BE11" s="158">
        <v>0</v>
      </c>
      <c r="BF11" s="158">
        <v>0</v>
      </c>
      <c r="BG11" s="158">
        <v>0</v>
      </c>
      <c r="BH11" s="158">
        <v>0</v>
      </c>
      <c r="BI11" s="158">
        <v>0</v>
      </c>
      <c r="BJ11" s="158">
        <v>0</v>
      </c>
      <c r="BK11" s="158">
        <v>0</v>
      </c>
      <c r="BL11" s="158">
        <v>0</v>
      </c>
      <c r="BM11" s="158">
        <v>0</v>
      </c>
      <c r="BN11" s="158">
        <v>85</v>
      </c>
      <c r="BP11" s="80">
        <f t="shared" si="1"/>
        <v>85</v>
      </c>
      <c r="BQ11" s="80">
        <f t="shared" si="2"/>
        <v>85</v>
      </c>
      <c r="BR11" s="80">
        <f t="shared" si="3"/>
        <v>85</v>
      </c>
      <c r="BU11" s="80">
        <f t="shared" si="4"/>
        <v>85</v>
      </c>
      <c r="BV11" s="80">
        <f t="shared" si="5"/>
        <v>85</v>
      </c>
      <c r="BW11" s="80">
        <f t="shared" si="6"/>
        <v>85</v>
      </c>
    </row>
    <row r="12" spans="1:75" ht="75" x14ac:dyDescent="0.25">
      <c r="A12" s="174">
        <f t="shared" si="7"/>
        <v>9</v>
      </c>
      <c r="B12" s="80">
        <f>IF(LEN(D12)&gt;0,VLOOKUP(D12,'1. Lists'!$E$3:$J$52,6,FALSE),"")</f>
        <v>22</v>
      </c>
      <c r="C12" s="80" t="str">
        <f>IF(LEN(D12)&gt;0,VLOOKUP(D12,'1. Lists'!$E$3:$F$52,2,FALSE),"")</f>
        <v>Technical Services</v>
      </c>
      <c r="D12" s="151" t="s">
        <v>379</v>
      </c>
      <c r="E12" s="179"/>
      <c r="H12" s="80">
        <f>IF(LEN(I12)&gt;0,VLOOKUP(I12,'1. Lists'!$T:$U,2,FALSE),"")</f>
        <v>63</v>
      </c>
      <c r="I12" s="152" t="s">
        <v>441</v>
      </c>
      <c r="J12" s="160"/>
      <c r="K12" s="80">
        <f>IF(LEN(L12)&gt;0,VLOOKUP(L12,'1. Lists'!$AK:$AL,2,FALSE),"")</f>
        <v>9</v>
      </c>
      <c r="L12" s="144" t="s">
        <v>159</v>
      </c>
      <c r="M12" s="168">
        <f>IF(LEN(N12)&gt;0,VLOOKUP(N12,'1. Lists'!$AN:$AQ,4,FALSE),"")</f>
        <v>2</v>
      </c>
      <c r="N12" s="180" t="s">
        <v>382</v>
      </c>
      <c r="O12" s="80">
        <f>IF(LEN(P12)&gt;0,VLOOKUP(P12,'1. Lists'!$AA:$AC,3,FALSE),"")</f>
        <v>4</v>
      </c>
      <c r="P12" s="143" t="s">
        <v>41</v>
      </c>
      <c r="Q12" s="73">
        <f>IF(LEN(R12)&gt;0,VLOOKUP(R12,'1. Lists'!$W:$Y,3,FALSE),"")</f>
        <v>1</v>
      </c>
      <c r="R12" s="142" t="s">
        <v>169</v>
      </c>
      <c r="S12" s="73">
        <f>IF(LEN(T12)&gt;0,VLOOKUP(T12,'1. Lists'!$AH:$AI,2,FALSE),"")</f>
        <v>11</v>
      </c>
      <c r="T12" s="146" t="s">
        <v>396</v>
      </c>
      <c r="U12" s="76">
        <f>IF(LEN(V12)&gt;0,VLOOKUP(V12,'1. Lists'!$AE:$AF,2,FALSE),"")</f>
        <v>11</v>
      </c>
      <c r="V12" s="181" t="s">
        <v>355</v>
      </c>
      <c r="W12" s="182"/>
      <c r="X12" s="183"/>
      <c r="Z12" s="150" t="s">
        <v>824</v>
      </c>
      <c r="AA12" s="150" t="s">
        <v>825</v>
      </c>
      <c r="AB12" s="80">
        <f>IF(LEN(AC12)&gt;0,VLOOKUP(AC12,'1. Lists'!$AV$3:$AX$7,3,FALSE),"")</f>
        <v>3</v>
      </c>
      <c r="AC12" s="151" t="s">
        <v>4</v>
      </c>
      <c r="AD12" s="80">
        <f>IF(LEN(AE12)&gt;0,VLOOKUP(AE12,'1. Lists'!$AZ$3:$BB$7,3,FALSE),"")</f>
        <v>2</v>
      </c>
      <c r="AE12" s="152" t="s">
        <v>9</v>
      </c>
      <c r="AF12" s="160"/>
      <c r="AG12" s="160"/>
      <c r="AH12" s="80">
        <f>IF(LEN(AI12)&gt;0,VLOOKUP(AI12,'1. Lists'!$BD$3:$BF$15,3,FALSE),"")</f>
        <v>5</v>
      </c>
      <c r="AI12" s="142" t="s">
        <v>340</v>
      </c>
      <c r="AJ12" s="143" t="s">
        <v>68</v>
      </c>
      <c r="AK12" s="144" t="s">
        <v>461</v>
      </c>
      <c r="AL12" s="180" t="s">
        <v>379</v>
      </c>
      <c r="AM12" s="185" t="s">
        <v>762</v>
      </c>
      <c r="AN12" s="160"/>
      <c r="AO12" s="185">
        <v>0.95</v>
      </c>
      <c r="AP12" s="184" t="s">
        <v>798</v>
      </c>
      <c r="AQ12" s="160"/>
      <c r="AR12" s="160"/>
      <c r="AS12" s="160"/>
      <c r="AT12" s="160"/>
      <c r="AU12" s="144" t="s">
        <v>460</v>
      </c>
      <c r="AV12" s="80" t="str">
        <f>IF(LEN(AW12)&gt;0,VLOOKUP(AW12,'1. Lists'!$BQ:$BR,2,FALSE),"")</f>
        <v>LAST</v>
      </c>
      <c r="AW12" s="151" t="s">
        <v>190</v>
      </c>
      <c r="AX12" s="80">
        <f>IF(LEN(AY12)&gt;0,VLOOKUP(AY12,'1. Lists'!$BU$3:$BW$5,3,FALSE),"")</f>
        <v>2</v>
      </c>
      <c r="AY12" s="152" t="s">
        <v>82</v>
      </c>
      <c r="AZ12" s="155">
        <v>95</v>
      </c>
      <c r="BA12" s="159">
        <f t="shared" si="0"/>
        <v>95</v>
      </c>
      <c r="BC12" s="158">
        <v>0</v>
      </c>
      <c r="BD12" s="158">
        <v>0</v>
      </c>
      <c r="BE12" s="158">
        <v>0</v>
      </c>
      <c r="BF12" s="158">
        <v>0</v>
      </c>
      <c r="BG12" s="158">
        <v>0</v>
      </c>
      <c r="BH12" s="158">
        <v>0</v>
      </c>
      <c r="BI12" s="158">
        <v>0</v>
      </c>
      <c r="BJ12" s="158">
        <v>0</v>
      </c>
      <c r="BK12" s="158">
        <v>0</v>
      </c>
      <c r="BL12" s="158">
        <v>0</v>
      </c>
      <c r="BM12" s="158">
        <v>0</v>
      </c>
      <c r="BN12" s="158">
        <v>95</v>
      </c>
      <c r="BP12" s="80">
        <f t="shared" si="1"/>
        <v>95</v>
      </c>
      <c r="BQ12" s="80">
        <f t="shared" si="2"/>
        <v>95</v>
      </c>
      <c r="BR12" s="80">
        <f t="shared" si="3"/>
        <v>95</v>
      </c>
      <c r="BU12" s="80">
        <f t="shared" si="4"/>
        <v>95</v>
      </c>
      <c r="BV12" s="80">
        <f t="shared" si="5"/>
        <v>95</v>
      </c>
      <c r="BW12" s="80">
        <f t="shared" si="6"/>
        <v>95</v>
      </c>
    </row>
    <row r="13" spans="1:75" ht="75" x14ac:dyDescent="0.25">
      <c r="A13" s="174">
        <f t="shared" si="7"/>
        <v>10</v>
      </c>
      <c r="B13" s="80">
        <f>IF(LEN(D13)&gt;0,VLOOKUP(D13,'1. Lists'!$E$3:$J$52,6,FALSE),"")</f>
        <v>22</v>
      </c>
      <c r="C13" s="80" t="str">
        <f>IF(LEN(D13)&gt;0,VLOOKUP(D13,'1. Lists'!$E$3:$F$52,2,FALSE),"")</f>
        <v>Technical Services</v>
      </c>
      <c r="D13" s="151" t="s">
        <v>379</v>
      </c>
      <c r="E13" s="179"/>
      <c r="H13" s="80">
        <f>IF(LEN(I13)&gt;0,VLOOKUP(I13,'1. Lists'!$T:$U,2,FALSE),"")</f>
        <v>63</v>
      </c>
      <c r="I13" s="152" t="s">
        <v>441</v>
      </c>
      <c r="J13" s="160"/>
      <c r="K13" s="80">
        <f>IF(LEN(L13)&gt;0,VLOOKUP(L13,'1. Lists'!$AK:$AL,2,FALSE),"")</f>
        <v>9</v>
      </c>
      <c r="L13" s="144" t="s">
        <v>159</v>
      </c>
      <c r="M13" s="168">
        <f>IF(LEN(N13)&gt;0,VLOOKUP(N13,'1. Lists'!$AN:$AQ,4,FALSE),"")</f>
        <v>2</v>
      </c>
      <c r="N13" s="180" t="s">
        <v>382</v>
      </c>
      <c r="O13" s="80">
        <f>IF(LEN(P13)&gt;0,VLOOKUP(P13,'1. Lists'!$AA:$AC,3,FALSE),"")</f>
        <v>4</v>
      </c>
      <c r="P13" s="143" t="s">
        <v>41</v>
      </c>
      <c r="Q13" s="73">
        <f>IF(LEN(R13)&gt;0,VLOOKUP(R13,'1. Lists'!$W:$Y,3,FALSE),"")</f>
        <v>1</v>
      </c>
      <c r="R13" s="142" t="s">
        <v>169</v>
      </c>
      <c r="S13" s="73">
        <f>IF(LEN(T13)&gt;0,VLOOKUP(T13,'1. Lists'!$AH:$AI,2,FALSE),"")</f>
        <v>11</v>
      </c>
      <c r="T13" s="146" t="s">
        <v>396</v>
      </c>
      <c r="U13" s="76">
        <f>IF(LEN(V13)&gt;0,VLOOKUP(V13,'1. Lists'!$AE:$AF,2,FALSE),"")</f>
        <v>11</v>
      </c>
      <c r="V13" s="181" t="s">
        <v>355</v>
      </c>
      <c r="W13" s="182"/>
      <c r="X13" s="183"/>
      <c r="Z13" s="150" t="s">
        <v>826</v>
      </c>
      <c r="AA13" s="150" t="s">
        <v>564</v>
      </c>
      <c r="AB13" s="80">
        <f>IF(LEN(AC13)&gt;0,VLOOKUP(AC13,'1. Lists'!$AV$3:$AX$7,3,FALSE),"")</f>
        <v>3</v>
      </c>
      <c r="AC13" s="151" t="s">
        <v>4</v>
      </c>
      <c r="AD13" s="80">
        <f>IF(LEN(AE13)&gt;0,VLOOKUP(AE13,'1. Lists'!$AZ$3:$BB$7,3,FALSE),"")</f>
        <v>2</v>
      </c>
      <c r="AE13" s="152" t="s">
        <v>9</v>
      </c>
      <c r="AF13" s="160"/>
      <c r="AG13" s="160"/>
      <c r="AH13" s="80">
        <f>IF(LEN(AI13)&gt;0,VLOOKUP(AI13,'1. Lists'!$BD$3:$BF$15,3,FALSE),"")</f>
        <v>5</v>
      </c>
      <c r="AI13" s="142" t="s">
        <v>340</v>
      </c>
      <c r="AJ13" s="143" t="s">
        <v>68</v>
      </c>
      <c r="AK13" s="144" t="s">
        <v>461</v>
      </c>
      <c r="AL13" s="180" t="s">
        <v>379</v>
      </c>
      <c r="AM13" s="185" t="s">
        <v>762</v>
      </c>
      <c r="AN13" s="160"/>
      <c r="AO13" s="185">
        <v>0.05</v>
      </c>
      <c r="AP13" s="184" t="s">
        <v>798</v>
      </c>
      <c r="AQ13" s="160"/>
      <c r="AR13" s="160"/>
      <c r="AS13" s="160"/>
      <c r="AT13" s="160"/>
      <c r="AU13" s="144" t="s">
        <v>460</v>
      </c>
      <c r="AV13" s="80" t="str">
        <f>IF(LEN(AW13)&gt;0,VLOOKUP(AW13,'1. Lists'!$BQ:$BR,2,FALSE),"")</f>
        <v>LASTREV</v>
      </c>
      <c r="AW13" s="151" t="s">
        <v>192</v>
      </c>
      <c r="AX13" s="80">
        <f>IF(LEN(AY13)&gt;0,VLOOKUP(AY13,'1. Lists'!$BU$3:$BW$5,3,FALSE),"")</f>
        <v>2</v>
      </c>
      <c r="AY13" s="152" t="s">
        <v>82</v>
      </c>
      <c r="AZ13" s="155">
        <v>5</v>
      </c>
      <c r="BA13" s="159">
        <f t="shared" si="0"/>
        <v>5</v>
      </c>
      <c r="BC13" s="158">
        <v>0</v>
      </c>
      <c r="BD13" s="158">
        <v>0</v>
      </c>
      <c r="BE13" s="158">
        <v>0</v>
      </c>
      <c r="BF13" s="158">
        <v>0</v>
      </c>
      <c r="BG13" s="158">
        <v>0</v>
      </c>
      <c r="BH13" s="158">
        <v>0</v>
      </c>
      <c r="BI13" s="158">
        <v>0</v>
      </c>
      <c r="BJ13" s="158">
        <v>0</v>
      </c>
      <c r="BK13" s="158">
        <v>0</v>
      </c>
      <c r="BL13" s="158">
        <v>0</v>
      </c>
      <c r="BM13" s="158">
        <v>0</v>
      </c>
      <c r="BN13" s="158">
        <v>5</v>
      </c>
      <c r="BP13" s="80">
        <f t="shared" si="1"/>
        <v>5</v>
      </c>
      <c r="BQ13" s="80">
        <f t="shared" si="2"/>
        <v>5</v>
      </c>
      <c r="BR13" s="80">
        <f t="shared" si="3"/>
        <v>5</v>
      </c>
      <c r="BU13" s="80">
        <f t="shared" si="4"/>
        <v>5</v>
      </c>
      <c r="BV13" s="80">
        <f t="shared" si="5"/>
        <v>5</v>
      </c>
      <c r="BW13" s="80">
        <f t="shared" si="6"/>
        <v>5</v>
      </c>
    </row>
    <row r="14" spans="1:75" ht="60" x14ac:dyDescent="0.25">
      <c r="A14" s="174">
        <f t="shared" si="7"/>
        <v>11</v>
      </c>
      <c r="B14" s="80">
        <f>IF(LEN(D14)&gt;0,VLOOKUP(D14,'1. Lists'!$E$3:$J$52,6,FALSE),"")</f>
        <v>23</v>
      </c>
      <c r="C14" s="80" t="str">
        <f>IF(LEN(D14)&gt;0,VLOOKUP(D14,'1. Lists'!$E$3:$F$52,2,FALSE),"")</f>
        <v>Technical Services</v>
      </c>
      <c r="D14" s="151" t="s">
        <v>312</v>
      </c>
      <c r="E14" s="179"/>
      <c r="F14" s="65" t="str">
        <f>IF(E14&gt;0,VLOOKUP(E14,'2. Top Layer'!$A:$C,3,FALSE),"")</f>
        <v/>
      </c>
      <c r="G14" s="65" t="str">
        <f>IF(E14&gt;0,VLOOKUP(E14,'2. Top Layer'!$A:$T,17,FALSE),"")</f>
        <v/>
      </c>
      <c r="H14" s="80">
        <f>IF(LEN(I14)&gt;0,VLOOKUP(I14,'1. Lists'!$T:$U,2,FALSE),"")</f>
        <v>131</v>
      </c>
      <c r="I14" s="152" t="s">
        <v>436</v>
      </c>
      <c r="J14" s="160"/>
      <c r="K14" s="80">
        <f>IF(LEN(L14)&gt;0,VLOOKUP(L14,'1. Lists'!$AK:$AL,2,FALSE),"")</f>
        <v>6</v>
      </c>
      <c r="L14" s="144" t="s">
        <v>156</v>
      </c>
      <c r="M14" s="168">
        <f>IF(LEN(N14)&gt;0,VLOOKUP(N14,'1. Lists'!$AN:$AQ,4,FALSE),"")</f>
        <v>5</v>
      </c>
      <c r="N14" s="180" t="s">
        <v>385</v>
      </c>
      <c r="O14" s="80">
        <f>IF(LEN(P14)&gt;0,VLOOKUP(P14,'1. Lists'!$AA:$AC,3,FALSE),"")</f>
        <v>2</v>
      </c>
      <c r="P14" s="143" t="s">
        <v>39</v>
      </c>
      <c r="Q14" s="73">
        <f>IF(LEN(R14)&gt;0,VLOOKUP(R14,'1. Lists'!$W:$Y,3,FALSE),"")</f>
        <v>1</v>
      </c>
      <c r="R14" s="142" t="s">
        <v>169</v>
      </c>
      <c r="S14" s="73">
        <f>IF(LEN(T14)&gt;0,VLOOKUP(T14,'1. Lists'!$AH:$AI,2,FALSE),"")</f>
        <v>2</v>
      </c>
      <c r="T14" s="146" t="s">
        <v>387</v>
      </c>
      <c r="U14" s="76">
        <f>IF(LEN(V14)&gt;0,VLOOKUP(V14,'1. Lists'!$AE:$AF,2,FALSE),"")</f>
        <v>2</v>
      </c>
      <c r="V14" s="181" t="s">
        <v>346</v>
      </c>
      <c r="W14" s="182"/>
      <c r="X14" s="183" t="str">
        <f>IF(W14&gt;0,VLOOKUP($W14,#REF!,4,FALSE),"")</f>
        <v/>
      </c>
      <c r="Y14" s="78" t="str">
        <f>IF(W14&gt;0,VLOOKUP($W14,#REF!,10,FALSE),"")</f>
        <v/>
      </c>
      <c r="Z14" s="150" t="s">
        <v>556</v>
      </c>
      <c r="AA14" s="150" t="s">
        <v>557</v>
      </c>
      <c r="AB14" s="80">
        <f>IF(LEN(AC14)&gt;0,VLOOKUP(AC14,'1. Lists'!$AV$3:$AX$7,3,FALSE),"")</f>
        <v>2</v>
      </c>
      <c r="AC14" s="151" t="s">
        <v>13</v>
      </c>
      <c r="AD14" s="80">
        <f>IF(LEN(AE14)&gt;0,VLOOKUP(AE14,'1. Lists'!$AZ$3:$BB$7,3,FALSE),"")</f>
        <v>2</v>
      </c>
      <c r="AE14" s="152" t="s">
        <v>9</v>
      </c>
      <c r="AF14" s="160"/>
      <c r="AG14" s="160"/>
      <c r="AH14" s="80">
        <f>IF(LEN(AI14)&gt;0,VLOOKUP(AI14,'1. Lists'!$BD$3:$BF$15,3,FALSE),"")</f>
        <v>4</v>
      </c>
      <c r="AI14" s="142" t="s">
        <v>339</v>
      </c>
      <c r="AJ14" s="143" t="s">
        <v>68</v>
      </c>
      <c r="AK14" s="144" t="s">
        <v>461</v>
      </c>
      <c r="AL14" s="180" t="s">
        <v>379</v>
      </c>
      <c r="AM14" s="154">
        <v>12</v>
      </c>
      <c r="AN14" s="160"/>
      <c r="AO14" s="184" t="s">
        <v>650</v>
      </c>
      <c r="AP14" s="184" t="s">
        <v>840</v>
      </c>
      <c r="AQ14" s="160"/>
      <c r="AR14" s="160"/>
      <c r="AS14" s="160"/>
      <c r="AT14" s="160"/>
      <c r="AU14" s="144" t="s">
        <v>460</v>
      </c>
      <c r="AV14" s="80" t="str">
        <f>IF(LEN(AW14)&gt;0,VLOOKUP(AW14,'1. Lists'!$BQ:$BR,2,FALSE),"")</f>
        <v>ACC</v>
      </c>
      <c r="AW14" s="151" t="s">
        <v>14</v>
      </c>
      <c r="AX14" s="80">
        <f>IF(LEN(AY14)&gt;0,VLOOKUP(AY14,'1. Lists'!$BU$3:$BW$5,3,FALSE),"")</f>
        <v>3</v>
      </c>
      <c r="AY14" s="152" t="s">
        <v>83</v>
      </c>
      <c r="AZ14" s="155">
        <v>12</v>
      </c>
      <c r="BA14" s="159">
        <f t="shared" si="0"/>
        <v>12</v>
      </c>
      <c r="BC14" s="158">
        <v>1</v>
      </c>
      <c r="BD14" s="158">
        <v>1</v>
      </c>
      <c r="BE14" s="158">
        <v>1</v>
      </c>
      <c r="BF14" s="158">
        <v>1</v>
      </c>
      <c r="BG14" s="158">
        <v>1</v>
      </c>
      <c r="BH14" s="158">
        <v>1</v>
      </c>
      <c r="BI14" s="158">
        <v>1</v>
      </c>
      <c r="BJ14" s="158">
        <v>1</v>
      </c>
      <c r="BK14" s="158">
        <v>1</v>
      </c>
      <c r="BL14" s="158">
        <v>1</v>
      </c>
      <c r="BM14" s="158">
        <v>1</v>
      </c>
      <c r="BN14" s="158">
        <v>1</v>
      </c>
      <c r="BP14" s="80">
        <f t="shared" si="1"/>
        <v>1</v>
      </c>
      <c r="BQ14" s="80">
        <f t="shared" si="2"/>
        <v>12</v>
      </c>
      <c r="BR14" s="80">
        <f t="shared" si="3"/>
        <v>1</v>
      </c>
      <c r="BS14" s="80">
        <v>0</v>
      </c>
      <c r="BU14" s="80">
        <f t="shared" si="4"/>
        <v>1</v>
      </c>
      <c r="BV14" s="80">
        <f t="shared" si="5"/>
        <v>1</v>
      </c>
      <c r="BW14" s="80">
        <f t="shared" si="6"/>
        <v>1</v>
      </c>
    </row>
    <row r="15" spans="1:75" ht="75" x14ac:dyDescent="0.25">
      <c r="A15" s="174">
        <f t="shared" si="7"/>
        <v>12</v>
      </c>
      <c r="B15" s="80">
        <f>IF(LEN(D15)&gt;0,VLOOKUP(D15,'1. Lists'!$E$3:$J$52,6,FALSE),"")</f>
        <v>23</v>
      </c>
      <c r="C15" s="80" t="str">
        <f>IF(LEN(D15)&gt;0,VLOOKUP(D15,'1. Lists'!$E$3:$F$52,2,FALSE),"")</f>
        <v>Technical Services</v>
      </c>
      <c r="D15" s="151" t="s">
        <v>312</v>
      </c>
      <c r="E15" s="179"/>
      <c r="F15" s="65" t="str">
        <f>IF(E15&gt;0,VLOOKUP(E15,'2. Top Layer'!$A:$C,3,FALSE),"")</f>
        <v/>
      </c>
      <c r="G15" s="65" t="str">
        <f>IF(E15&gt;0,VLOOKUP(E15,'2. Top Layer'!$A:$T,17,FALSE),"")</f>
        <v/>
      </c>
      <c r="H15" s="80">
        <f>IF(LEN(I15)&gt;0,VLOOKUP(I15,'1. Lists'!$T:$U,2,FALSE),"")</f>
        <v>64</v>
      </c>
      <c r="I15" s="152" t="s">
        <v>435</v>
      </c>
      <c r="J15" s="160"/>
      <c r="K15" s="80">
        <f>IF(LEN(L15)&gt;0,VLOOKUP(L15,'1. Lists'!$AK:$AL,2,FALSE),"")</f>
        <v>9</v>
      </c>
      <c r="L15" s="144" t="s">
        <v>159</v>
      </c>
      <c r="M15" s="168">
        <f>IF(LEN(N15)&gt;0,VLOOKUP(N15,'1. Lists'!$AN:$AQ,4,FALSE),"")</f>
        <v>2</v>
      </c>
      <c r="N15" s="180" t="s">
        <v>382</v>
      </c>
      <c r="O15" s="80">
        <f>IF(LEN(P15)&gt;0,VLOOKUP(P15,'1. Lists'!$AA:$AC,3,FALSE),"")</f>
        <v>5</v>
      </c>
      <c r="P15" s="143" t="s">
        <v>42</v>
      </c>
      <c r="Q15" s="73">
        <f>IF(LEN(R15)&gt;0,VLOOKUP(R15,'1. Lists'!$W:$Y,3,FALSE),"")</f>
        <v>1</v>
      </c>
      <c r="R15" s="142" t="s">
        <v>169</v>
      </c>
      <c r="S15" s="73">
        <f>IF(LEN(T15)&gt;0,VLOOKUP(T15,'1. Lists'!$AH:$AI,2,FALSE),"")</f>
        <v>11</v>
      </c>
      <c r="T15" s="146" t="s">
        <v>396</v>
      </c>
      <c r="U15" s="76">
        <f>IF(LEN(V15)&gt;0,VLOOKUP(V15,'1. Lists'!$AE:$AF,2,FALSE),"")</f>
        <v>11</v>
      </c>
      <c r="V15" s="181" t="s">
        <v>355</v>
      </c>
      <c r="W15" s="182"/>
      <c r="X15" s="183" t="str">
        <f>IF(W15&gt;0,VLOOKUP($W15,#REF!,4,FALSE),"")</f>
        <v/>
      </c>
      <c r="Y15" s="78" t="str">
        <f>IF(W15&gt;0,VLOOKUP($W15,#REF!,10,FALSE),"")</f>
        <v/>
      </c>
      <c r="Z15" s="150" t="s">
        <v>791</v>
      </c>
      <c r="AA15" s="150" t="s">
        <v>468</v>
      </c>
      <c r="AB15" s="80">
        <f>IF(LEN(AC15)&gt;0,VLOOKUP(AC15,'1. Lists'!$AV$3:$AX$7,3,FALSE),"")</f>
        <v>2</v>
      </c>
      <c r="AC15" s="151" t="s">
        <v>13</v>
      </c>
      <c r="AD15" s="80">
        <f>IF(LEN(AE15)&gt;0,VLOOKUP(AE15,'1. Lists'!$AZ$3:$BB$7,3,FALSE),"")</f>
        <v>2</v>
      </c>
      <c r="AE15" s="152" t="s">
        <v>9</v>
      </c>
      <c r="AF15" s="160"/>
      <c r="AG15" s="160"/>
      <c r="AH15" s="80">
        <f>IF(LEN(AI15)&gt;0,VLOOKUP(AI15,'1. Lists'!$BD$3:$BF$15,3,FALSE),"")</f>
        <v>5</v>
      </c>
      <c r="AI15" s="142" t="s">
        <v>340</v>
      </c>
      <c r="AJ15" s="143" t="s">
        <v>68</v>
      </c>
      <c r="AK15" s="144" t="s">
        <v>461</v>
      </c>
      <c r="AL15" s="180" t="s">
        <v>379</v>
      </c>
      <c r="AM15" s="154">
        <v>10</v>
      </c>
      <c r="AN15" s="160"/>
      <c r="AO15" s="154" t="s">
        <v>601</v>
      </c>
      <c r="AP15" s="184" t="s">
        <v>790</v>
      </c>
      <c r="AQ15" s="160"/>
      <c r="AR15" s="160"/>
      <c r="AS15" s="160"/>
      <c r="AT15" s="160"/>
      <c r="AU15" s="144" t="s">
        <v>460</v>
      </c>
      <c r="AV15" s="80" t="str">
        <f>IF(LEN(AW15)&gt;0,VLOOKUP(AW15,'1. Lists'!$BQ:$BR,2,FALSE),"")</f>
        <v>ACC</v>
      </c>
      <c r="AW15" s="151" t="s">
        <v>14</v>
      </c>
      <c r="AX15" s="80">
        <f>IF(LEN(AY15)&gt;0,VLOOKUP(AY15,'1. Lists'!$BU$3:$BW$5,3,FALSE),"")</f>
        <v>3</v>
      </c>
      <c r="AY15" s="152" t="s">
        <v>83</v>
      </c>
      <c r="AZ15" s="155">
        <v>12</v>
      </c>
      <c r="BA15" s="159">
        <f t="shared" si="0"/>
        <v>12</v>
      </c>
      <c r="BC15" s="158">
        <v>1</v>
      </c>
      <c r="BD15" s="158">
        <v>1</v>
      </c>
      <c r="BE15" s="158">
        <v>1</v>
      </c>
      <c r="BF15" s="158">
        <v>1</v>
      </c>
      <c r="BG15" s="158">
        <v>1</v>
      </c>
      <c r="BH15" s="158">
        <v>1</v>
      </c>
      <c r="BI15" s="158">
        <v>1</v>
      </c>
      <c r="BJ15" s="158">
        <v>1</v>
      </c>
      <c r="BK15" s="158">
        <v>1</v>
      </c>
      <c r="BL15" s="158">
        <v>1</v>
      </c>
      <c r="BM15" s="158">
        <v>1</v>
      </c>
      <c r="BN15" s="158">
        <v>1</v>
      </c>
      <c r="BP15" s="80">
        <f t="shared" si="1"/>
        <v>1</v>
      </c>
      <c r="BQ15" s="80">
        <f t="shared" si="2"/>
        <v>12</v>
      </c>
      <c r="BR15" s="80">
        <f t="shared" si="3"/>
        <v>1</v>
      </c>
      <c r="BS15" s="80">
        <v>0</v>
      </c>
      <c r="BU15" s="80">
        <f t="shared" si="4"/>
        <v>1</v>
      </c>
      <c r="BV15" s="80">
        <f t="shared" si="5"/>
        <v>1</v>
      </c>
      <c r="BW15" s="80">
        <f t="shared" si="6"/>
        <v>1</v>
      </c>
    </row>
    <row r="16" spans="1:75" ht="75" x14ac:dyDescent="0.25">
      <c r="A16" s="174">
        <f t="shared" si="7"/>
        <v>13</v>
      </c>
      <c r="B16" s="80">
        <f>IF(LEN(D16)&gt;0,VLOOKUP(D16,'1. Lists'!$E$3:$J$52,6,FALSE),"")</f>
        <v>23</v>
      </c>
      <c r="C16" s="80" t="str">
        <f>IF(LEN(D16)&gt;0,VLOOKUP(D16,'1. Lists'!$E$3:$F$52,2,FALSE),"")</f>
        <v>Technical Services</v>
      </c>
      <c r="D16" s="151" t="s">
        <v>312</v>
      </c>
      <c r="E16" s="179"/>
      <c r="H16" s="80">
        <f>IF(LEN(I16)&gt;0,VLOOKUP(I16,'1. Lists'!$T:$U,2,FALSE),"")</f>
        <v>67</v>
      </c>
      <c r="I16" s="152" t="s">
        <v>437</v>
      </c>
      <c r="J16" s="160"/>
      <c r="K16" s="80">
        <f>IF(LEN(L16)&gt;0,VLOOKUP(L16,'1. Lists'!$AK:$AL,2,FALSE),"")</f>
        <v>9</v>
      </c>
      <c r="L16" s="144" t="s">
        <v>159</v>
      </c>
      <c r="M16" s="168">
        <f>IF(LEN(N16)&gt;0,VLOOKUP(N16,'1. Lists'!$AN:$AQ,4,FALSE),"")</f>
        <v>2</v>
      </c>
      <c r="N16" s="180" t="s">
        <v>382</v>
      </c>
      <c r="O16" s="80">
        <f>IF(LEN(P16)&gt;0,VLOOKUP(P16,'1. Lists'!$AA:$AC,3,FALSE),"")</f>
        <v>4</v>
      </c>
      <c r="P16" s="143" t="s">
        <v>41</v>
      </c>
      <c r="Q16" s="73">
        <f>IF(LEN(R16)&gt;0,VLOOKUP(R16,'1. Lists'!$W:$Y,3,FALSE),"")</f>
        <v>1</v>
      </c>
      <c r="R16" s="142" t="s">
        <v>169</v>
      </c>
      <c r="S16" s="73">
        <f>IF(LEN(T16)&gt;0,VLOOKUP(T16,'1. Lists'!$AH:$AI,2,FALSE),"")</f>
        <v>11</v>
      </c>
      <c r="T16" s="146" t="s">
        <v>396</v>
      </c>
      <c r="U16" s="76">
        <f>IF(LEN(V16)&gt;0,VLOOKUP(V16,'1. Lists'!$AE:$AF,2,FALSE),"")</f>
        <v>11</v>
      </c>
      <c r="V16" s="181" t="s">
        <v>355</v>
      </c>
      <c r="W16" s="182"/>
      <c r="X16" s="183"/>
      <c r="Z16" s="150" t="s">
        <v>792</v>
      </c>
      <c r="AA16" s="150" t="s">
        <v>739</v>
      </c>
      <c r="AB16" s="80">
        <f>IF(LEN(AC16)&gt;0,VLOOKUP(AC16,'1. Lists'!$AV$3:$AX$7,3,FALSE),"")</f>
        <v>2</v>
      </c>
      <c r="AC16" s="151" t="s">
        <v>13</v>
      </c>
      <c r="AD16" s="80">
        <f>IF(LEN(AE16)&gt;0,VLOOKUP(AE16,'1. Lists'!$AZ$3:$BB$7,3,FALSE),"")</f>
        <v>2</v>
      </c>
      <c r="AE16" s="152" t="s">
        <v>9</v>
      </c>
      <c r="AF16" s="160"/>
      <c r="AG16" s="160"/>
      <c r="AH16" s="80">
        <f>IF(LEN(AI16)&gt;0,VLOOKUP(AI16,'1. Lists'!$BD$3:$BF$15,3,FALSE),"")</f>
        <v>5</v>
      </c>
      <c r="AI16" s="142" t="s">
        <v>340</v>
      </c>
      <c r="AJ16" s="143" t="s">
        <v>68</v>
      </c>
      <c r="AK16" s="144" t="s">
        <v>461</v>
      </c>
      <c r="AL16" s="180" t="s">
        <v>379</v>
      </c>
      <c r="AM16" s="185" t="s">
        <v>762</v>
      </c>
      <c r="AN16" s="160"/>
      <c r="AO16" s="154" t="s">
        <v>565</v>
      </c>
      <c r="AP16" s="184" t="s">
        <v>790</v>
      </c>
      <c r="AQ16" s="160"/>
      <c r="AR16" s="160"/>
      <c r="AS16" s="160"/>
      <c r="AT16" s="160"/>
      <c r="AU16" s="144" t="s">
        <v>460</v>
      </c>
      <c r="AV16" s="80" t="str">
        <f>IF(LEN(AW16)&gt;0,VLOOKUP(AW16,'1. Lists'!$BQ:$BR,2,FALSE),"")</f>
        <v>ACC</v>
      </c>
      <c r="AW16" s="151" t="s">
        <v>14</v>
      </c>
      <c r="AX16" s="80">
        <f>IF(LEN(AY16)&gt;0,VLOOKUP(AY16,'1. Lists'!$BU$3:$BW$5,3,FALSE),"")</f>
        <v>3</v>
      </c>
      <c r="AY16" s="152" t="s">
        <v>83</v>
      </c>
      <c r="AZ16" s="155">
        <v>4</v>
      </c>
      <c r="BA16" s="159">
        <f t="shared" si="0"/>
        <v>4</v>
      </c>
      <c r="BC16" s="158">
        <v>0</v>
      </c>
      <c r="BD16" s="158">
        <v>0</v>
      </c>
      <c r="BE16" s="158">
        <v>1</v>
      </c>
      <c r="BF16" s="158">
        <v>0</v>
      </c>
      <c r="BG16" s="158">
        <v>0</v>
      </c>
      <c r="BH16" s="158">
        <v>1</v>
      </c>
      <c r="BI16" s="158">
        <v>0</v>
      </c>
      <c r="BJ16" s="158">
        <v>0</v>
      </c>
      <c r="BK16" s="158">
        <v>1</v>
      </c>
      <c r="BL16" s="158">
        <v>0</v>
      </c>
      <c r="BM16" s="158">
        <v>0</v>
      </c>
      <c r="BN16" s="158">
        <v>1</v>
      </c>
      <c r="BP16" s="80">
        <f t="shared" si="1"/>
        <v>1</v>
      </c>
      <c r="BQ16" s="80">
        <f t="shared" si="2"/>
        <v>4</v>
      </c>
      <c r="BR16" s="80">
        <f t="shared" si="3"/>
        <v>1</v>
      </c>
      <c r="BU16" s="80">
        <f t="shared" si="4"/>
        <v>1</v>
      </c>
      <c r="BV16" s="80">
        <f t="shared" si="5"/>
        <v>1</v>
      </c>
      <c r="BW16" s="80">
        <f t="shared" si="6"/>
        <v>1</v>
      </c>
    </row>
    <row r="17" spans="1:75" ht="75" x14ac:dyDescent="0.25">
      <c r="A17" s="174">
        <f t="shared" si="7"/>
        <v>14</v>
      </c>
      <c r="B17" s="80">
        <f>IF(LEN(D17)&gt;0,VLOOKUP(D17,'1. Lists'!$E$3:$J$52,6,FALSE),"")</f>
        <v>23</v>
      </c>
      <c r="C17" s="80" t="str">
        <f>IF(LEN(D17)&gt;0,VLOOKUP(D17,'1. Lists'!$E$3:$F$52,2,FALSE),"")</f>
        <v>Technical Services</v>
      </c>
      <c r="D17" s="151" t="s">
        <v>312</v>
      </c>
      <c r="E17" s="179"/>
      <c r="H17" s="80">
        <f>IF(LEN(I17)&gt;0,VLOOKUP(I17,'1. Lists'!$T:$U,2,FALSE),"")</f>
        <v>67</v>
      </c>
      <c r="I17" s="152" t="s">
        <v>437</v>
      </c>
      <c r="J17" s="160"/>
      <c r="K17" s="80">
        <f>IF(LEN(L17)&gt;0,VLOOKUP(L17,'1. Lists'!$AK:$AL,2,FALSE),"")</f>
        <v>9</v>
      </c>
      <c r="L17" s="144" t="s">
        <v>159</v>
      </c>
      <c r="M17" s="168">
        <f>IF(LEN(N17)&gt;0,VLOOKUP(N17,'1. Lists'!$AN:$AQ,4,FALSE),"")</f>
        <v>2</v>
      </c>
      <c r="N17" s="180" t="s">
        <v>382</v>
      </c>
      <c r="O17" s="80">
        <f>IF(LEN(P17)&gt;0,VLOOKUP(P17,'1. Lists'!$AA:$AC,3,FALSE),"")</f>
        <v>4</v>
      </c>
      <c r="P17" s="143" t="s">
        <v>41</v>
      </c>
      <c r="Q17" s="73">
        <f>IF(LEN(R17)&gt;0,VLOOKUP(R17,'1. Lists'!$W:$Y,3,FALSE),"")</f>
        <v>1</v>
      </c>
      <c r="R17" s="142" t="s">
        <v>169</v>
      </c>
      <c r="S17" s="73">
        <f>IF(LEN(T17)&gt;0,VLOOKUP(T17,'1. Lists'!$AH:$AI,2,FALSE),"")</f>
        <v>11</v>
      </c>
      <c r="T17" s="146" t="s">
        <v>396</v>
      </c>
      <c r="U17" s="76">
        <f>IF(LEN(V17)&gt;0,VLOOKUP(V17,'1. Lists'!$AE:$AF,2,FALSE),"")</f>
        <v>11</v>
      </c>
      <c r="V17" s="181" t="s">
        <v>355</v>
      </c>
      <c r="W17" s="182"/>
      <c r="X17" s="183"/>
      <c r="Z17" s="150" t="s">
        <v>793</v>
      </c>
      <c r="AA17" s="150" t="s">
        <v>794</v>
      </c>
      <c r="AB17" s="80">
        <f>IF(LEN(AC17)&gt;0,VLOOKUP(AC17,'1. Lists'!$AV$3:$AX$7,3,FALSE),"")</f>
        <v>2</v>
      </c>
      <c r="AC17" s="151" t="s">
        <v>13</v>
      </c>
      <c r="AD17" s="80">
        <f>IF(LEN(AE17)&gt;0,VLOOKUP(AE17,'1. Lists'!$AZ$3:$BB$7,3,FALSE),"")</f>
        <v>2</v>
      </c>
      <c r="AE17" s="152" t="s">
        <v>9</v>
      </c>
      <c r="AF17" s="160"/>
      <c r="AG17" s="160"/>
      <c r="AH17" s="80">
        <f>IF(LEN(AI17)&gt;0,VLOOKUP(AI17,'1. Lists'!$BD$3:$BF$15,3,FALSE),"")</f>
        <v>5</v>
      </c>
      <c r="AI17" s="142" t="s">
        <v>340</v>
      </c>
      <c r="AJ17" s="143" t="s">
        <v>68</v>
      </c>
      <c r="AK17" s="144" t="s">
        <v>461</v>
      </c>
      <c r="AL17" s="180" t="s">
        <v>379</v>
      </c>
      <c r="AM17" s="185" t="s">
        <v>762</v>
      </c>
      <c r="AN17" s="160"/>
      <c r="AO17" s="154" t="s">
        <v>795</v>
      </c>
      <c r="AP17" s="184" t="s">
        <v>790</v>
      </c>
      <c r="AQ17" s="160"/>
      <c r="AR17" s="160"/>
      <c r="AS17" s="160"/>
      <c r="AT17" s="160"/>
      <c r="AU17" s="144" t="s">
        <v>460</v>
      </c>
      <c r="AV17" s="80" t="str">
        <f>IF(LEN(AW17)&gt;0,VLOOKUP(AW17,'1. Lists'!$BQ:$BR,2,FALSE),"")</f>
        <v>ACC</v>
      </c>
      <c r="AW17" s="151" t="s">
        <v>14</v>
      </c>
      <c r="AX17" s="80">
        <f>IF(LEN(AY17)&gt;0,VLOOKUP(AY17,'1. Lists'!$BU$3:$BW$5,3,FALSE),"")</f>
        <v>3</v>
      </c>
      <c r="AY17" s="152" t="s">
        <v>83</v>
      </c>
      <c r="AZ17" s="155">
        <v>12</v>
      </c>
      <c r="BA17" s="159">
        <f t="shared" si="0"/>
        <v>12</v>
      </c>
      <c r="BC17" s="158">
        <v>1</v>
      </c>
      <c r="BD17" s="158">
        <v>1</v>
      </c>
      <c r="BE17" s="158">
        <v>1</v>
      </c>
      <c r="BF17" s="158">
        <v>1</v>
      </c>
      <c r="BG17" s="158">
        <v>1</v>
      </c>
      <c r="BH17" s="158">
        <v>1</v>
      </c>
      <c r="BI17" s="158">
        <v>1</v>
      </c>
      <c r="BJ17" s="158">
        <v>1</v>
      </c>
      <c r="BK17" s="158">
        <v>1</v>
      </c>
      <c r="BL17" s="158">
        <v>1</v>
      </c>
      <c r="BM17" s="158">
        <v>1</v>
      </c>
      <c r="BN17" s="158">
        <v>1</v>
      </c>
      <c r="BP17" s="80">
        <f t="shared" si="1"/>
        <v>1</v>
      </c>
      <c r="BQ17" s="80">
        <f t="shared" si="2"/>
        <v>12</v>
      </c>
      <c r="BR17" s="80">
        <f t="shared" si="3"/>
        <v>1</v>
      </c>
      <c r="BU17" s="80">
        <f t="shared" si="4"/>
        <v>1</v>
      </c>
      <c r="BV17" s="80">
        <f t="shared" si="5"/>
        <v>1</v>
      </c>
      <c r="BW17" s="80">
        <f t="shared" si="6"/>
        <v>1</v>
      </c>
    </row>
    <row r="18" spans="1:75" ht="75" x14ac:dyDescent="0.25">
      <c r="A18" s="174">
        <f t="shared" si="7"/>
        <v>15</v>
      </c>
      <c r="B18" s="80">
        <f>IF(LEN(D18)&gt;0,VLOOKUP(D18,'1. Lists'!$E$3:$J$52,6,FALSE),"")</f>
        <v>23</v>
      </c>
      <c r="C18" s="80" t="str">
        <f>IF(LEN(D18)&gt;0,VLOOKUP(D18,'1. Lists'!$E$3:$F$52,2,FALSE),"")</f>
        <v>Technical Services</v>
      </c>
      <c r="D18" s="151" t="s">
        <v>312</v>
      </c>
      <c r="E18" s="179"/>
      <c r="H18" s="80">
        <f>IF(LEN(I18)&gt;0,VLOOKUP(I18,'1. Lists'!$T:$U,2,FALSE),"")</f>
        <v>67</v>
      </c>
      <c r="I18" s="152" t="s">
        <v>437</v>
      </c>
      <c r="J18" s="160"/>
      <c r="K18" s="80">
        <f>IF(LEN(L18)&gt;0,VLOOKUP(L18,'1. Lists'!$AK:$AL,2,FALSE),"")</f>
        <v>9</v>
      </c>
      <c r="L18" s="144" t="s">
        <v>159</v>
      </c>
      <c r="M18" s="168">
        <f>IF(LEN(N18)&gt;0,VLOOKUP(N18,'1. Lists'!$AN:$AQ,4,FALSE),"")</f>
        <v>2</v>
      </c>
      <c r="N18" s="180" t="s">
        <v>382</v>
      </c>
      <c r="O18" s="80">
        <f>IF(LEN(P18)&gt;0,VLOOKUP(P18,'1. Lists'!$AA:$AC,3,FALSE),"")</f>
        <v>4</v>
      </c>
      <c r="P18" s="143" t="s">
        <v>41</v>
      </c>
      <c r="Q18" s="73">
        <f>IF(LEN(R18)&gt;0,VLOOKUP(R18,'1. Lists'!$W:$Y,3,FALSE),"")</f>
        <v>1</v>
      </c>
      <c r="R18" s="142" t="s">
        <v>169</v>
      </c>
      <c r="S18" s="73">
        <f>IF(LEN(T18)&gt;0,VLOOKUP(T18,'1. Lists'!$AH:$AI,2,FALSE),"")</f>
        <v>11</v>
      </c>
      <c r="T18" s="146" t="s">
        <v>396</v>
      </c>
      <c r="U18" s="76">
        <f>IF(LEN(V18)&gt;0,VLOOKUP(V18,'1. Lists'!$AE:$AF,2,FALSE),"")</f>
        <v>11</v>
      </c>
      <c r="V18" s="181" t="s">
        <v>355</v>
      </c>
      <c r="W18" s="182"/>
      <c r="X18" s="183"/>
      <c r="Z18" s="150" t="s">
        <v>796</v>
      </c>
      <c r="AA18" s="150" t="s">
        <v>797</v>
      </c>
      <c r="AB18" s="80">
        <f>IF(LEN(AC18)&gt;0,VLOOKUP(AC18,'1. Lists'!$AV$3:$AX$7,3,FALSE),"")</f>
        <v>3</v>
      </c>
      <c r="AC18" s="151" t="s">
        <v>4</v>
      </c>
      <c r="AD18" s="80">
        <f>IF(LEN(AE18)&gt;0,VLOOKUP(AE18,'1. Lists'!$AZ$3:$BB$7,3,FALSE),"")</f>
        <v>2</v>
      </c>
      <c r="AE18" s="152" t="s">
        <v>9</v>
      </c>
      <c r="AF18" s="160"/>
      <c r="AG18" s="160"/>
      <c r="AH18" s="80">
        <f>IF(LEN(AI18)&gt;0,VLOOKUP(AI18,'1. Lists'!$BD$3:$BF$15,3,FALSE),"")</f>
        <v>5</v>
      </c>
      <c r="AI18" s="142" t="s">
        <v>340</v>
      </c>
      <c r="AJ18" s="143" t="s">
        <v>68</v>
      </c>
      <c r="AK18" s="144" t="s">
        <v>461</v>
      </c>
      <c r="AL18" s="180" t="s">
        <v>379</v>
      </c>
      <c r="AM18" s="185" t="s">
        <v>762</v>
      </c>
      <c r="AN18" s="160"/>
      <c r="AO18" s="185">
        <v>0.85</v>
      </c>
      <c r="AP18" s="184" t="s">
        <v>798</v>
      </c>
      <c r="AQ18" s="160"/>
      <c r="AR18" s="160"/>
      <c r="AS18" s="160"/>
      <c r="AT18" s="160"/>
      <c r="AU18" s="144" t="s">
        <v>460</v>
      </c>
      <c r="AV18" s="80" t="str">
        <f>IF(LEN(AW18)&gt;0,VLOOKUP(AW18,'1. Lists'!$BQ:$BR,2,FALSE),"")</f>
        <v>LAST</v>
      </c>
      <c r="AW18" s="151" t="s">
        <v>190</v>
      </c>
      <c r="AX18" s="80">
        <f>IF(LEN(AY18)&gt;0,VLOOKUP(AY18,'1. Lists'!$BU$3:$BW$5,3,FALSE),"")</f>
        <v>2</v>
      </c>
      <c r="AY18" s="152" t="s">
        <v>82</v>
      </c>
      <c r="AZ18" s="155">
        <v>85</v>
      </c>
      <c r="BA18" s="159">
        <f t="shared" si="0"/>
        <v>85</v>
      </c>
      <c r="BC18" s="158">
        <v>0</v>
      </c>
      <c r="BD18" s="158">
        <v>0</v>
      </c>
      <c r="BE18" s="158">
        <v>0</v>
      </c>
      <c r="BF18" s="158">
        <v>0</v>
      </c>
      <c r="BG18" s="158">
        <v>0</v>
      </c>
      <c r="BH18" s="158">
        <v>0</v>
      </c>
      <c r="BI18" s="158">
        <v>0</v>
      </c>
      <c r="BJ18" s="158">
        <v>0</v>
      </c>
      <c r="BK18" s="158">
        <v>0</v>
      </c>
      <c r="BL18" s="158">
        <v>0</v>
      </c>
      <c r="BM18" s="158">
        <v>0</v>
      </c>
      <c r="BN18" s="158">
        <v>85</v>
      </c>
      <c r="BP18" s="80">
        <f t="shared" si="1"/>
        <v>85</v>
      </c>
      <c r="BQ18" s="80">
        <f t="shared" si="2"/>
        <v>85</v>
      </c>
      <c r="BR18" s="80">
        <f t="shared" si="3"/>
        <v>85</v>
      </c>
      <c r="BU18" s="80">
        <f t="shared" si="4"/>
        <v>85</v>
      </c>
      <c r="BV18" s="80">
        <f t="shared" si="5"/>
        <v>85</v>
      </c>
      <c r="BW18" s="80">
        <f t="shared" si="6"/>
        <v>85</v>
      </c>
    </row>
    <row r="19" spans="1:75" ht="90" x14ac:dyDescent="0.25">
      <c r="A19" s="174">
        <f>IF(COUNTBLANK(B19:BN19)&lt;65,A18+1,0)</f>
        <v>16</v>
      </c>
      <c r="B19" s="80">
        <f>IF(LEN(D19)&gt;0,VLOOKUP(D19,'1. Lists'!$E$3:$J$52,6,FALSE),"")</f>
        <v>24</v>
      </c>
      <c r="C19" s="80" t="str">
        <f>IF(LEN(D19)&gt;0,VLOOKUP(D19,'1. Lists'!$E$3:$F$52,2,FALSE),"")</f>
        <v>Technical Services</v>
      </c>
      <c r="D19" s="151" t="s">
        <v>380</v>
      </c>
      <c r="E19" s="179"/>
      <c r="F19" s="65" t="str">
        <f>IF(E19&gt;0,VLOOKUP(E19,'2. Top Layer'!$A:$C,3,FALSE),"")</f>
        <v/>
      </c>
      <c r="G19" s="65" t="str">
        <f>IF(E19&gt;0,VLOOKUP(E19,'2. Top Layer'!$A:$T,17,FALSE),"")</f>
        <v/>
      </c>
      <c r="H19" s="80">
        <f>IF(LEN(I19)&gt;0,VLOOKUP(I19,'1. Lists'!$T:$U,2,FALSE),"")</f>
        <v>109</v>
      </c>
      <c r="I19" s="152" t="s">
        <v>442</v>
      </c>
      <c r="J19" s="160"/>
      <c r="K19" s="80">
        <f>IF(LEN(L19)&gt;0,VLOOKUP(L19,'1. Lists'!$AK:$AL,2,FALSE),"")</f>
        <v>6</v>
      </c>
      <c r="L19" s="144" t="s">
        <v>156</v>
      </c>
      <c r="M19" s="168">
        <f>IF(LEN(N19)&gt;0,VLOOKUP(N19,'1. Lists'!$AN:$AQ,4,FALSE),"")</f>
        <v>6</v>
      </c>
      <c r="N19" s="180" t="s">
        <v>386</v>
      </c>
      <c r="O19" s="80">
        <f>IF(LEN(P19)&gt;0,VLOOKUP(P19,'1. Lists'!$AA:$AC,3,FALSE),"")</f>
        <v>2</v>
      </c>
      <c r="P19" s="143" t="s">
        <v>39</v>
      </c>
      <c r="Q19" s="73">
        <f>IF(LEN(R19)&gt;0,VLOOKUP(R19,'1. Lists'!$W:$Y,3,FALSE),"")</f>
        <v>1</v>
      </c>
      <c r="R19" s="142" t="s">
        <v>169</v>
      </c>
      <c r="S19" s="73">
        <f>IF(LEN(T19)&gt;0,VLOOKUP(T19,'1. Lists'!$AH:$AI,2,FALSE),"")</f>
        <v>19</v>
      </c>
      <c r="T19" s="146" t="s">
        <v>404</v>
      </c>
      <c r="U19" s="76">
        <f>IF(LEN(V19)&gt;0,VLOOKUP(V19,'1. Lists'!$AE:$AF,2,FALSE),"")</f>
        <v>2</v>
      </c>
      <c r="V19" s="181" t="s">
        <v>346</v>
      </c>
      <c r="W19" s="182"/>
      <c r="X19" s="183" t="str">
        <f>IF(W19&gt;0,VLOOKUP($W19,#REF!,4,FALSE),"")</f>
        <v/>
      </c>
      <c r="Y19" s="78" t="str">
        <f>IF(W19&gt;0,VLOOKUP($W19,#REF!,10,FALSE),"")</f>
        <v/>
      </c>
      <c r="Z19" s="150" t="s">
        <v>558</v>
      </c>
      <c r="AA19" s="150" t="s">
        <v>559</v>
      </c>
      <c r="AB19" s="80">
        <f>IF(LEN(AC19)&gt;0,VLOOKUP(AC19,'1. Lists'!$AV$3:$AX$7,3,FALSE),"")</f>
        <v>2</v>
      </c>
      <c r="AC19" s="151" t="s">
        <v>13</v>
      </c>
      <c r="AD19" s="80">
        <f>IF(LEN(AE19)&gt;0,VLOOKUP(AE19,'1. Lists'!$AZ$3:$BB$7,3,FALSE),"")</f>
        <v>2</v>
      </c>
      <c r="AE19" s="152" t="s">
        <v>9</v>
      </c>
      <c r="AF19" s="160"/>
      <c r="AG19" s="160"/>
      <c r="AH19" s="80">
        <f>IF(LEN(AI19)&gt;0,VLOOKUP(AI19,'1. Lists'!$BD$3:$BF$15,3,FALSE),"")</f>
        <v>4</v>
      </c>
      <c r="AI19" s="142" t="s">
        <v>339</v>
      </c>
      <c r="AJ19" s="143" t="s">
        <v>68</v>
      </c>
      <c r="AK19" s="144" t="s">
        <v>461</v>
      </c>
      <c r="AL19" s="180" t="s">
        <v>424</v>
      </c>
      <c r="AM19" s="154">
        <v>90</v>
      </c>
      <c r="AN19" s="160"/>
      <c r="AO19" s="184" t="s">
        <v>651</v>
      </c>
      <c r="AP19" s="184" t="s">
        <v>652</v>
      </c>
      <c r="AQ19" s="160"/>
      <c r="AR19" s="160"/>
      <c r="AS19" s="160"/>
      <c r="AT19" s="160"/>
      <c r="AU19" s="144" t="s">
        <v>460</v>
      </c>
      <c r="AV19" s="80" t="str">
        <f>IF(LEN(AW19)&gt;0,VLOOKUP(AW19,'1. Lists'!$BQ:$BR,2,FALSE),"")</f>
        <v>STD</v>
      </c>
      <c r="AW19" s="151" t="s">
        <v>78</v>
      </c>
      <c r="AX19" s="80">
        <f>IF(LEN(AY19)&gt;0,VLOOKUP(AY19,'1. Lists'!$BU$3:$BW$5,3,FALSE),"")</f>
        <v>2</v>
      </c>
      <c r="AY19" s="152" t="s">
        <v>82</v>
      </c>
      <c r="AZ19" s="155">
        <v>90</v>
      </c>
      <c r="BA19" s="159">
        <f t="shared" si="0"/>
        <v>90</v>
      </c>
      <c r="BC19" s="158">
        <v>90</v>
      </c>
      <c r="BD19" s="158">
        <v>90</v>
      </c>
      <c r="BE19" s="158">
        <v>90</v>
      </c>
      <c r="BF19" s="158">
        <v>90</v>
      </c>
      <c r="BG19" s="158">
        <v>90</v>
      </c>
      <c r="BH19" s="158">
        <v>90</v>
      </c>
      <c r="BI19" s="158">
        <v>90</v>
      </c>
      <c r="BJ19" s="158">
        <v>90</v>
      </c>
      <c r="BK19" s="158">
        <v>90</v>
      </c>
      <c r="BL19" s="158">
        <v>90</v>
      </c>
      <c r="BM19" s="158">
        <v>90</v>
      </c>
      <c r="BN19" s="158">
        <v>90</v>
      </c>
      <c r="BP19" s="80">
        <f t="shared" si="1"/>
        <v>90</v>
      </c>
      <c r="BQ19" s="80">
        <f t="shared" si="2"/>
        <v>1080</v>
      </c>
      <c r="BR19" s="80">
        <f t="shared" si="3"/>
        <v>90</v>
      </c>
      <c r="BS19" s="80">
        <v>0</v>
      </c>
      <c r="BU19" s="80">
        <f t="shared" si="4"/>
        <v>90</v>
      </c>
      <c r="BV19" s="80">
        <f t="shared" si="5"/>
        <v>90</v>
      </c>
      <c r="BW19" s="80">
        <f t="shared" si="6"/>
        <v>90</v>
      </c>
    </row>
    <row r="20" spans="1:75" ht="75" x14ac:dyDescent="0.25">
      <c r="A20" s="174">
        <f t="shared" si="7"/>
        <v>17</v>
      </c>
      <c r="B20" s="80">
        <f>IF(LEN(D20)&gt;0,VLOOKUP(D20,'1. Lists'!$E$3:$J$52,6,FALSE),"")</f>
        <v>24</v>
      </c>
      <c r="C20" s="80" t="str">
        <f>IF(LEN(D20)&gt;0,VLOOKUP(D20,'1. Lists'!$E$3:$F$52,2,FALSE),"")</f>
        <v>Technical Services</v>
      </c>
      <c r="D20" s="151" t="s">
        <v>380</v>
      </c>
      <c r="E20" s="179"/>
      <c r="F20" s="65" t="str">
        <f>IF(E20&gt;0,VLOOKUP(E20,'2. Top Layer'!$A:$C,3,FALSE),"")</f>
        <v/>
      </c>
      <c r="G20" s="65" t="str">
        <f>IF(E20&gt;0,VLOOKUP(E20,'2. Top Layer'!$A:$T,17,FALSE),"")</f>
        <v/>
      </c>
      <c r="H20" s="80">
        <f>IF(LEN(I20)&gt;0,VLOOKUP(I20,'1. Lists'!$T:$U,2,FALSE),"")</f>
        <v>109</v>
      </c>
      <c r="I20" s="152" t="s">
        <v>442</v>
      </c>
      <c r="J20" s="160"/>
      <c r="K20" s="80">
        <f>IF(LEN(L20)&gt;0,VLOOKUP(L20,'1. Lists'!$AK:$AL,2,FALSE),"")</f>
        <v>6</v>
      </c>
      <c r="L20" s="144" t="s">
        <v>156</v>
      </c>
      <c r="M20" s="168">
        <f>IF(LEN(N20)&gt;0,VLOOKUP(N20,'1. Lists'!$AN:$AQ,4,FALSE),"")</f>
        <v>6</v>
      </c>
      <c r="N20" s="180" t="s">
        <v>386</v>
      </c>
      <c r="O20" s="80">
        <f>IF(LEN(P20)&gt;0,VLOOKUP(P20,'1. Lists'!$AA:$AC,3,FALSE),"")</f>
        <v>2</v>
      </c>
      <c r="P20" s="143" t="s">
        <v>39</v>
      </c>
      <c r="Q20" s="73">
        <f>IF(LEN(R20)&gt;0,VLOOKUP(R20,'1. Lists'!$W:$Y,3,FALSE),"")</f>
        <v>1</v>
      </c>
      <c r="R20" s="142" t="s">
        <v>169</v>
      </c>
      <c r="S20" s="73">
        <f>IF(LEN(T20)&gt;0,VLOOKUP(T20,'1. Lists'!$AH:$AI,2,FALSE),"")</f>
        <v>19</v>
      </c>
      <c r="T20" s="146" t="s">
        <v>404</v>
      </c>
      <c r="U20" s="76">
        <f>IF(LEN(V20)&gt;0,VLOOKUP(V20,'1. Lists'!$AE:$AF,2,FALSE),"")</f>
        <v>2</v>
      </c>
      <c r="V20" s="181" t="s">
        <v>346</v>
      </c>
      <c r="W20" s="182"/>
      <c r="X20" s="183" t="str">
        <f>IF(W20&gt;0,VLOOKUP($W20,#REF!,4,FALSE),"")</f>
        <v/>
      </c>
      <c r="Y20" s="78" t="str">
        <f>IF(W20&gt;0,VLOOKUP($W20,#REF!,10,FALSE),"")</f>
        <v/>
      </c>
      <c r="Z20" s="150" t="s">
        <v>560</v>
      </c>
      <c r="AA20" s="150" t="s">
        <v>561</v>
      </c>
      <c r="AB20" s="80">
        <f>IF(LEN(AC20)&gt;0,VLOOKUP(AC20,'1. Lists'!$AV$3:$AX$7,3,FALSE),"")</f>
        <v>2</v>
      </c>
      <c r="AC20" s="151" t="s">
        <v>13</v>
      </c>
      <c r="AD20" s="80">
        <f>IF(LEN(AE20)&gt;0,VLOOKUP(AE20,'1. Lists'!$AZ$3:$BB$7,3,FALSE),"")</f>
        <v>2</v>
      </c>
      <c r="AE20" s="152" t="s">
        <v>9</v>
      </c>
      <c r="AF20" s="160"/>
      <c r="AG20" s="160"/>
      <c r="AH20" s="80">
        <f>IF(LEN(AI20)&gt;0,VLOOKUP(AI20,'1. Lists'!$BD$3:$BF$15,3,FALSE),"")</f>
        <v>4</v>
      </c>
      <c r="AI20" s="142" t="s">
        <v>339</v>
      </c>
      <c r="AJ20" s="143" t="s">
        <v>68</v>
      </c>
      <c r="AK20" s="144" t="s">
        <v>461</v>
      </c>
      <c r="AL20" s="180" t="s">
        <v>424</v>
      </c>
      <c r="AM20" s="154">
        <v>90</v>
      </c>
      <c r="AN20" s="160"/>
      <c r="AO20" s="184" t="s">
        <v>653</v>
      </c>
      <c r="AP20" s="184" t="s">
        <v>841</v>
      </c>
      <c r="AQ20" s="160"/>
      <c r="AR20" s="160"/>
      <c r="AS20" s="160"/>
      <c r="AT20" s="160"/>
      <c r="AU20" s="144" t="s">
        <v>460</v>
      </c>
      <c r="AV20" s="80" t="str">
        <f>IF(LEN(AW20)&gt;0,VLOOKUP(AW20,'1. Lists'!$BQ:$BR,2,FALSE),"")</f>
        <v>STD</v>
      </c>
      <c r="AW20" s="151" t="s">
        <v>78</v>
      </c>
      <c r="AX20" s="80">
        <f>IF(LEN(AY20)&gt;0,VLOOKUP(AY20,'1. Lists'!$BU$3:$BW$5,3,FALSE),"")</f>
        <v>2</v>
      </c>
      <c r="AY20" s="152" t="s">
        <v>82</v>
      </c>
      <c r="AZ20" s="155">
        <v>90</v>
      </c>
      <c r="BA20" s="159">
        <f t="shared" si="0"/>
        <v>90</v>
      </c>
      <c r="BC20" s="158">
        <v>90</v>
      </c>
      <c r="BD20" s="158">
        <v>90</v>
      </c>
      <c r="BE20" s="158">
        <v>90</v>
      </c>
      <c r="BF20" s="158">
        <v>90</v>
      </c>
      <c r="BG20" s="158">
        <v>90</v>
      </c>
      <c r="BH20" s="158">
        <v>90</v>
      </c>
      <c r="BI20" s="158">
        <v>90</v>
      </c>
      <c r="BJ20" s="158">
        <v>90</v>
      </c>
      <c r="BK20" s="158">
        <v>90</v>
      </c>
      <c r="BL20" s="158">
        <v>90</v>
      </c>
      <c r="BM20" s="158">
        <v>90</v>
      </c>
      <c r="BN20" s="158">
        <v>90</v>
      </c>
      <c r="BP20" s="80">
        <f t="shared" si="1"/>
        <v>90</v>
      </c>
      <c r="BQ20" s="80">
        <f t="shared" si="2"/>
        <v>1080</v>
      </c>
      <c r="BR20" s="80">
        <f t="shared" si="3"/>
        <v>90</v>
      </c>
      <c r="BS20" s="80">
        <v>0</v>
      </c>
      <c r="BU20" s="80">
        <f t="shared" si="4"/>
        <v>90</v>
      </c>
      <c r="BV20" s="80">
        <f t="shared" si="5"/>
        <v>90</v>
      </c>
      <c r="BW20" s="80">
        <f t="shared" si="6"/>
        <v>90</v>
      </c>
    </row>
    <row r="21" spans="1:75" ht="75" x14ac:dyDescent="0.25">
      <c r="A21" s="174">
        <f t="shared" si="7"/>
        <v>18</v>
      </c>
      <c r="B21" s="80">
        <f>IF(LEN(D21)&gt;0,VLOOKUP(D21,'1. Lists'!$E$3:$J$52,6,FALSE),"")</f>
        <v>24</v>
      </c>
      <c r="C21" s="80" t="str">
        <f>IF(LEN(D21)&gt;0,VLOOKUP(D21,'1. Lists'!$E$3:$F$52,2,FALSE),"")</f>
        <v>Technical Services</v>
      </c>
      <c r="D21" s="151" t="s">
        <v>380</v>
      </c>
      <c r="E21" s="179"/>
      <c r="F21" s="65" t="str">
        <f>IF(E21&gt;0,VLOOKUP(E21,'2. Top Layer'!$A:$C,3,FALSE),"")</f>
        <v/>
      </c>
      <c r="G21" s="65" t="str">
        <f>IF(E21&gt;0,VLOOKUP(E21,'2. Top Layer'!$A:$T,17,FALSE),"")</f>
        <v/>
      </c>
      <c r="H21" s="80">
        <f>IF(LEN(I21)&gt;0,VLOOKUP(I21,'1. Lists'!$T:$U,2,FALSE),"")</f>
        <v>64</v>
      </c>
      <c r="I21" s="152" t="s">
        <v>435</v>
      </c>
      <c r="J21" s="160"/>
      <c r="K21" s="80">
        <f>IF(LEN(L21)&gt;0,VLOOKUP(L21,'1. Lists'!$AK:$AL,2,FALSE),"")</f>
        <v>9</v>
      </c>
      <c r="L21" s="144" t="s">
        <v>159</v>
      </c>
      <c r="M21" s="168">
        <f>IF(LEN(N21)&gt;0,VLOOKUP(N21,'1. Lists'!$AN:$AQ,4,FALSE),"")</f>
        <v>2</v>
      </c>
      <c r="N21" s="180" t="s">
        <v>382</v>
      </c>
      <c r="O21" s="80">
        <f>IF(LEN(P21)&gt;0,VLOOKUP(P21,'1. Lists'!$AA:$AC,3,FALSE),"")</f>
        <v>5</v>
      </c>
      <c r="P21" s="143" t="s">
        <v>42</v>
      </c>
      <c r="Q21" s="73">
        <f>IF(LEN(R21)&gt;0,VLOOKUP(R21,'1. Lists'!$W:$Y,3,FALSE),"")</f>
        <v>1</v>
      </c>
      <c r="R21" s="142" t="s">
        <v>169</v>
      </c>
      <c r="S21" s="73">
        <f>IF(LEN(T21)&gt;0,VLOOKUP(T21,'1. Lists'!$AH:$AI,2,FALSE),"")</f>
        <v>11</v>
      </c>
      <c r="T21" s="146" t="s">
        <v>396</v>
      </c>
      <c r="U21" s="76">
        <f>IF(LEN(V21)&gt;0,VLOOKUP(V21,'1. Lists'!$AE:$AF,2,FALSE),"")</f>
        <v>11</v>
      </c>
      <c r="V21" s="181" t="s">
        <v>355</v>
      </c>
      <c r="W21" s="182"/>
      <c r="X21" s="183" t="str">
        <f>IF(W21&gt;0,VLOOKUP($W21,#REF!,4,FALSE),"")</f>
        <v/>
      </c>
      <c r="Y21" s="78" t="str">
        <f>IF(W21&gt;0,VLOOKUP($W21,#REF!,10,FALSE),"")</f>
        <v/>
      </c>
      <c r="Z21" s="150" t="s">
        <v>791</v>
      </c>
      <c r="AA21" s="150" t="s">
        <v>468</v>
      </c>
      <c r="AB21" s="80">
        <f>IF(LEN(AC21)&gt;0,VLOOKUP(AC21,'1. Lists'!$AV$3:$AX$7,3,FALSE),"")</f>
        <v>2</v>
      </c>
      <c r="AC21" s="151" t="s">
        <v>13</v>
      </c>
      <c r="AD21" s="80">
        <f>IF(LEN(AE21)&gt;0,VLOOKUP(AE21,'1. Lists'!$AZ$3:$BB$7,3,FALSE),"")</f>
        <v>2</v>
      </c>
      <c r="AE21" s="152" t="s">
        <v>9</v>
      </c>
      <c r="AF21" s="160"/>
      <c r="AG21" s="160"/>
      <c r="AH21" s="80">
        <f>IF(LEN(AI21)&gt;0,VLOOKUP(AI21,'1. Lists'!$BD$3:$BF$15,3,FALSE),"")</f>
        <v>5</v>
      </c>
      <c r="AI21" s="142" t="s">
        <v>340</v>
      </c>
      <c r="AJ21" s="143" t="s">
        <v>68</v>
      </c>
      <c r="AK21" s="144" t="s">
        <v>461</v>
      </c>
      <c r="AL21" s="180" t="s">
        <v>424</v>
      </c>
      <c r="AM21" s="154">
        <v>10</v>
      </c>
      <c r="AN21" s="160"/>
      <c r="AO21" s="154" t="s">
        <v>601</v>
      </c>
      <c r="AP21" s="184" t="s">
        <v>790</v>
      </c>
      <c r="AQ21" s="160"/>
      <c r="AR21" s="160"/>
      <c r="AS21" s="160"/>
      <c r="AT21" s="160"/>
      <c r="AU21" s="144" t="s">
        <v>460</v>
      </c>
      <c r="AV21" s="80" t="str">
        <f>IF(LEN(AW21)&gt;0,VLOOKUP(AW21,'1. Lists'!$BQ:$BR,2,FALSE),"")</f>
        <v>ACC</v>
      </c>
      <c r="AW21" s="151" t="s">
        <v>14</v>
      </c>
      <c r="AX21" s="80">
        <f>IF(LEN(AY21)&gt;0,VLOOKUP(AY21,'1. Lists'!$BU$3:$BW$5,3,FALSE),"")</f>
        <v>3</v>
      </c>
      <c r="AY21" s="152" t="s">
        <v>83</v>
      </c>
      <c r="AZ21" s="155">
        <v>12</v>
      </c>
      <c r="BA21" s="159">
        <f t="shared" si="0"/>
        <v>12</v>
      </c>
      <c r="BC21" s="158">
        <v>1</v>
      </c>
      <c r="BD21" s="158">
        <v>1</v>
      </c>
      <c r="BE21" s="158">
        <v>1</v>
      </c>
      <c r="BF21" s="158">
        <v>1</v>
      </c>
      <c r="BG21" s="158">
        <v>1</v>
      </c>
      <c r="BH21" s="158">
        <v>1</v>
      </c>
      <c r="BI21" s="158">
        <v>1</v>
      </c>
      <c r="BJ21" s="158">
        <v>1</v>
      </c>
      <c r="BK21" s="158">
        <v>1</v>
      </c>
      <c r="BL21" s="158">
        <v>1</v>
      </c>
      <c r="BM21" s="158">
        <v>1</v>
      </c>
      <c r="BN21" s="158">
        <v>1</v>
      </c>
      <c r="BP21" s="80">
        <f t="shared" si="1"/>
        <v>1</v>
      </c>
      <c r="BQ21" s="80">
        <f t="shared" si="2"/>
        <v>12</v>
      </c>
      <c r="BR21" s="80">
        <f t="shared" si="3"/>
        <v>1</v>
      </c>
      <c r="BS21" s="80">
        <v>0</v>
      </c>
      <c r="BU21" s="80">
        <f t="shared" si="4"/>
        <v>1</v>
      </c>
      <c r="BV21" s="80">
        <f t="shared" si="5"/>
        <v>1</v>
      </c>
      <c r="BW21" s="80">
        <f t="shared" si="6"/>
        <v>1</v>
      </c>
    </row>
    <row r="22" spans="1:75" ht="75" x14ac:dyDescent="0.25">
      <c r="A22" s="174">
        <f t="shared" si="7"/>
        <v>19</v>
      </c>
      <c r="B22" s="80">
        <f>IF(LEN(D22)&gt;0,VLOOKUP(D22,'1. Lists'!$E$3:$J$52,6,FALSE),"")</f>
        <v>24</v>
      </c>
      <c r="C22" s="80" t="str">
        <f>IF(LEN(D22)&gt;0,VLOOKUP(D22,'1. Lists'!$E$3:$F$52,2,FALSE),"")</f>
        <v>Technical Services</v>
      </c>
      <c r="D22" s="151" t="s">
        <v>380</v>
      </c>
      <c r="E22" s="179"/>
      <c r="H22" s="80">
        <f>IF(LEN(I22)&gt;0,VLOOKUP(I22,'1. Lists'!$T:$U,2,FALSE),"")</f>
        <v>67</v>
      </c>
      <c r="I22" s="152" t="s">
        <v>437</v>
      </c>
      <c r="J22" s="160"/>
      <c r="K22" s="80">
        <f>IF(LEN(L22)&gt;0,VLOOKUP(L22,'1. Lists'!$AK:$AL,2,FALSE),"")</f>
        <v>9</v>
      </c>
      <c r="L22" s="144" t="s">
        <v>159</v>
      </c>
      <c r="M22" s="168">
        <f>IF(LEN(N22)&gt;0,VLOOKUP(N22,'1. Lists'!$AN:$AQ,4,FALSE),"")</f>
        <v>2</v>
      </c>
      <c r="N22" s="180" t="s">
        <v>382</v>
      </c>
      <c r="O22" s="80">
        <f>IF(LEN(P22)&gt;0,VLOOKUP(P22,'1. Lists'!$AA:$AC,3,FALSE),"")</f>
        <v>4</v>
      </c>
      <c r="P22" s="143" t="s">
        <v>41</v>
      </c>
      <c r="Q22" s="73">
        <f>IF(LEN(R22)&gt;0,VLOOKUP(R22,'1. Lists'!$W:$Y,3,FALSE),"")</f>
        <v>1</v>
      </c>
      <c r="R22" s="142" t="s">
        <v>169</v>
      </c>
      <c r="S22" s="73">
        <f>IF(LEN(T22)&gt;0,VLOOKUP(T22,'1. Lists'!$AH:$AI,2,FALSE),"")</f>
        <v>11</v>
      </c>
      <c r="T22" s="146" t="s">
        <v>396</v>
      </c>
      <c r="U22" s="76">
        <f>IF(LEN(V22)&gt;0,VLOOKUP(V22,'1. Lists'!$AE:$AF,2,FALSE),"")</f>
        <v>11</v>
      </c>
      <c r="V22" s="181" t="s">
        <v>355</v>
      </c>
      <c r="W22" s="182"/>
      <c r="X22" s="183"/>
      <c r="Z22" s="150" t="s">
        <v>792</v>
      </c>
      <c r="AA22" s="150" t="s">
        <v>739</v>
      </c>
      <c r="AB22" s="80">
        <f>IF(LEN(AC22)&gt;0,VLOOKUP(AC22,'1. Lists'!$AV$3:$AX$7,3,FALSE),"")</f>
        <v>2</v>
      </c>
      <c r="AC22" s="151" t="s">
        <v>13</v>
      </c>
      <c r="AD22" s="80">
        <f>IF(LEN(AE22)&gt;0,VLOOKUP(AE22,'1. Lists'!$AZ$3:$BB$7,3,FALSE),"")</f>
        <v>2</v>
      </c>
      <c r="AE22" s="152" t="s">
        <v>9</v>
      </c>
      <c r="AF22" s="160"/>
      <c r="AG22" s="160"/>
      <c r="AH22" s="80">
        <f>IF(LEN(AI22)&gt;0,VLOOKUP(AI22,'1. Lists'!$BD$3:$BF$15,3,FALSE),"")</f>
        <v>5</v>
      </c>
      <c r="AI22" s="142" t="s">
        <v>340</v>
      </c>
      <c r="AJ22" s="143" t="s">
        <v>68</v>
      </c>
      <c r="AK22" s="144" t="s">
        <v>461</v>
      </c>
      <c r="AL22" s="180" t="s">
        <v>424</v>
      </c>
      <c r="AM22" s="185" t="s">
        <v>762</v>
      </c>
      <c r="AN22" s="160"/>
      <c r="AO22" s="154" t="s">
        <v>565</v>
      </c>
      <c r="AP22" s="184" t="s">
        <v>790</v>
      </c>
      <c r="AQ22" s="160"/>
      <c r="AR22" s="160"/>
      <c r="AS22" s="160"/>
      <c r="AT22" s="160"/>
      <c r="AU22" s="144" t="s">
        <v>460</v>
      </c>
      <c r="AV22" s="80" t="str">
        <f>IF(LEN(AW22)&gt;0,VLOOKUP(AW22,'1. Lists'!$BQ:$BR,2,FALSE),"")</f>
        <v>ACC</v>
      </c>
      <c r="AW22" s="151" t="s">
        <v>14</v>
      </c>
      <c r="AX22" s="80">
        <f>IF(LEN(AY22)&gt;0,VLOOKUP(AY22,'1. Lists'!$BU$3:$BW$5,3,FALSE),"")</f>
        <v>3</v>
      </c>
      <c r="AY22" s="152" t="s">
        <v>83</v>
      </c>
      <c r="AZ22" s="155">
        <v>4</v>
      </c>
      <c r="BA22" s="159">
        <f t="shared" si="0"/>
        <v>4</v>
      </c>
      <c r="BC22" s="158">
        <v>0</v>
      </c>
      <c r="BD22" s="158">
        <v>0</v>
      </c>
      <c r="BE22" s="158">
        <v>1</v>
      </c>
      <c r="BF22" s="158">
        <v>0</v>
      </c>
      <c r="BG22" s="158">
        <v>0</v>
      </c>
      <c r="BH22" s="158">
        <v>1</v>
      </c>
      <c r="BI22" s="158">
        <v>0</v>
      </c>
      <c r="BJ22" s="158">
        <v>0</v>
      </c>
      <c r="BK22" s="158">
        <v>1</v>
      </c>
      <c r="BL22" s="158">
        <v>0</v>
      </c>
      <c r="BM22" s="158">
        <v>0</v>
      </c>
      <c r="BN22" s="158">
        <v>1</v>
      </c>
      <c r="BP22" s="80">
        <f t="shared" si="1"/>
        <v>1</v>
      </c>
      <c r="BQ22" s="80">
        <f t="shared" si="2"/>
        <v>4</v>
      </c>
      <c r="BR22" s="80">
        <f t="shared" si="3"/>
        <v>1</v>
      </c>
      <c r="BU22" s="80">
        <f t="shared" si="4"/>
        <v>1</v>
      </c>
      <c r="BV22" s="80">
        <f t="shared" si="5"/>
        <v>1</v>
      </c>
      <c r="BW22" s="80">
        <f t="shared" si="6"/>
        <v>1</v>
      </c>
    </row>
    <row r="23" spans="1:75" ht="75" x14ac:dyDescent="0.25">
      <c r="A23" s="174">
        <f t="shared" si="7"/>
        <v>20</v>
      </c>
      <c r="B23" s="80">
        <f>IF(LEN(D23)&gt;0,VLOOKUP(D23,'1. Lists'!$E$3:$J$52,6,FALSE),"")</f>
        <v>24</v>
      </c>
      <c r="C23" s="80" t="str">
        <f>IF(LEN(D23)&gt;0,VLOOKUP(D23,'1. Lists'!$E$3:$F$52,2,FALSE),"")</f>
        <v>Technical Services</v>
      </c>
      <c r="D23" s="151" t="s">
        <v>380</v>
      </c>
      <c r="E23" s="179"/>
      <c r="H23" s="80">
        <f>IF(LEN(I23)&gt;0,VLOOKUP(I23,'1. Lists'!$T:$U,2,FALSE),"")</f>
        <v>67</v>
      </c>
      <c r="I23" s="152" t="s">
        <v>437</v>
      </c>
      <c r="J23" s="160"/>
      <c r="K23" s="80">
        <f>IF(LEN(L23)&gt;0,VLOOKUP(L23,'1. Lists'!$AK:$AL,2,FALSE),"")</f>
        <v>9</v>
      </c>
      <c r="L23" s="144" t="s">
        <v>159</v>
      </c>
      <c r="M23" s="168">
        <f>IF(LEN(N23)&gt;0,VLOOKUP(N23,'1. Lists'!$AN:$AQ,4,FALSE),"")</f>
        <v>2</v>
      </c>
      <c r="N23" s="180" t="s">
        <v>382</v>
      </c>
      <c r="O23" s="80">
        <f>IF(LEN(P23)&gt;0,VLOOKUP(P23,'1. Lists'!$AA:$AC,3,FALSE),"")</f>
        <v>4</v>
      </c>
      <c r="P23" s="143" t="s">
        <v>41</v>
      </c>
      <c r="Q23" s="73">
        <f>IF(LEN(R23)&gt;0,VLOOKUP(R23,'1. Lists'!$W:$Y,3,FALSE),"")</f>
        <v>1</v>
      </c>
      <c r="R23" s="142" t="s">
        <v>169</v>
      </c>
      <c r="S23" s="73">
        <f>IF(LEN(T23)&gt;0,VLOOKUP(T23,'1. Lists'!$AH:$AI,2,FALSE),"")</f>
        <v>11</v>
      </c>
      <c r="T23" s="146" t="s">
        <v>396</v>
      </c>
      <c r="U23" s="76">
        <f>IF(LEN(V23)&gt;0,VLOOKUP(V23,'1. Lists'!$AE:$AF,2,FALSE),"")</f>
        <v>11</v>
      </c>
      <c r="V23" s="181" t="s">
        <v>355</v>
      </c>
      <c r="W23" s="182"/>
      <c r="X23" s="183"/>
      <c r="Z23" s="150" t="s">
        <v>793</v>
      </c>
      <c r="AA23" s="150" t="s">
        <v>794</v>
      </c>
      <c r="AB23" s="80">
        <f>IF(LEN(AC23)&gt;0,VLOOKUP(AC23,'1. Lists'!$AV$3:$AX$7,3,FALSE),"")</f>
        <v>2</v>
      </c>
      <c r="AC23" s="151" t="s">
        <v>13</v>
      </c>
      <c r="AD23" s="80">
        <f>IF(LEN(AE23)&gt;0,VLOOKUP(AE23,'1. Lists'!$AZ$3:$BB$7,3,FALSE),"")</f>
        <v>2</v>
      </c>
      <c r="AE23" s="152" t="s">
        <v>9</v>
      </c>
      <c r="AF23" s="160"/>
      <c r="AG23" s="160"/>
      <c r="AH23" s="80">
        <f>IF(LEN(AI23)&gt;0,VLOOKUP(AI23,'1. Lists'!$BD$3:$BF$15,3,FALSE),"")</f>
        <v>5</v>
      </c>
      <c r="AI23" s="142" t="s">
        <v>340</v>
      </c>
      <c r="AJ23" s="143" t="s">
        <v>68</v>
      </c>
      <c r="AK23" s="144" t="s">
        <v>461</v>
      </c>
      <c r="AL23" s="180" t="s">
        <v>424</v>
      </c>
      <c r="AM23" s="185" t="s">
        <v>762</v>
      </c>
      <c r="AN23" s="160"/>
      <c r="AO23" s="154" t="s">
        <v>795</v>
      </c>
      <c r="AP23" s="184" t="s">
        <v>790</v>
      </c>
      <c r="AQ23" s="160"/>
      <c r="AR23" s="160"/>
      <c r="AS23" s="160"/>
      <c r="AT23" s="160"/>
      <c r="AU23" s="144" t="s">
        <v>460</v>
      </c>
      <c r="AV23" s="80" t="str">
        <f>IF(LEN(AW23)&gt;0,VLOOKUP(AW23,'1. Lists'!$BQ:$BR,2,FALSE),"")</f>
        <v>ACC</v>
      </c>
      <c r="AW23" s="151" t="s">
        <v>14</v>
      </c>
      <c r="AX23" s="80">
        <f>IF(LEN(AY23)&gt;0,VLOOKUP(AY23,'1. Lists'!$BU$3:$BW$5,3,FALSE),"")</f>
        <v>3</v>
      </c>
      <c r="AY23" s="152" t="s">
        <v>83</v>
      </c>
      <c r="AZ23" s="155">
        <v>12</v>
      </c>
      <c r="BA23" s="159">
        <f t="shared" si="0"/>
        <v>12</v>
      </c>
      <c r="BC23" s="158">
        <v>1</v>
      </c>
      <c r="BD23" s="158">
        <v>1</v>
      </c>
      <c r="BE23" s="158">
        <v>1</v>
      </c>
      <c r="BF23" s="158">
        <v>1</v>
      </c>
      <c r="BG23" s="158">
        <v>1</v>
      </c>
      <c r="BH23" s="158">
        <v>1</v>
      </c>
      <c r="BI23" s="158">
        <v>1</v>
      </c>
      <c r="BJ23" s="158">
        <v>1</v>
      </c>
      <c r="BK23" s="158">
        <v>1</v>
      </c>
      <c r="BL23" s="158">
        <v>1</v>
      </c>
      <c r="BM23" s="158">
        <v>1</v>
      </c>
      <c r="BN23" s="158">
        <v>1</v>
      </c>
      <c r="BP23" s="80">
        <f t="shared" si="1"/>
        <v>1</v>
      </c>
      <c r="BQ23" s="80">
        <f t="shared" si="2"/>
        <v>12</v>
      </c>
      <c r="BR23" s="80">
        <f t="shared" si="3"/>
        <v>1</v>
      </c>
      <c r="BU23" s="80">
        <f t="shared" si="4"/>
        <v>1</v>
      </c>
      <c r="BV23" s="80">
        <f t="shared" si="5"/>
        <v>1</v>
      </c>
      <c r="BW23" s="80">
        <f t="shared" si="6"/>
        <v>1</v>
      </c>
    </row>
    <row r="24" spans="1:75" ht="75" x14ac:dyDescent="0.25">
      <c r="A24" s="174">
        <f t="shared" si="7"/>
        <v>21</v>
      </c>
      <c r="B24" s="80">
        <f>IF(LEN(D24)&gt;0,VLOOKUP(D24,'1. Lists'!$E$3:$J$52,6,FALSE),"")</f>
        <v>24</v>
      </c>
      <c r="C24" s="80" t="str">
        <f>IF(LEN(D24)&gt;0,VLOOKUP(D24,'1. Lists'!$E$3:$F$52,2,FALSE),"")</f>
        <v>Technical Services</v>
      </c>
      <c r="D24" s="151" t="s">
        <v>380</v>
      </c>
      <c r="E24" s="179"/>
      <c r="H24" s="80">
        <f>IF(LEN(I24)&gt;0,VLOOKUP(I24,'1. Lists'!$T:$U,2,FALSE),"")</f>
        <v>67</v>
      </c>
      <c r="I24" s="152" t="s">
        <v>437</v>
      </c>
      <c r="J24" s="160"/>
      <c r="K24" s="80">
        <f>IF(LEN(L24)&gt;0,VLOOKUP(L24,'1. Lists'!$AK:$AL,2,FALSE),"")</f>
        <v>9</v>
      </c>
      <c r="L24" s="144" t="s">
        <v>159</v>
      </c>
      <c r="M24" s="168">
        <f>IF(LEN(N24)&gt;0,VLOOKUP(N24,'1. Lists'!$AN:$AQ,4,FALSE),"")</f>
        <v>2</v>
      </c>
      <c r="N24" s="180" t="s">
        <v>382</v>
      </c>
      <c r="O24" s="80">
        <f>IF(LEN(P24)&gt;0,VLOOKUP(P24,'1. Lists'!$AA:$AC,3,FALSE),"")</f>
        <v>4</v>
      </c>
      <c r="P24" s="143" t="s">
        <v>41</v>
      </c>
      <c r="Q24" s="73">
        <f>IF(LEN(R24)&gt;0,VLOOKUP(R24,'1. Lists'!$W:$Y,3,FALSE),"")</f>
        <v>1</v>
      </c>
      <c r="R24" s="142" t="s">
        <v>169</v>
      </c>
      <c r="S24" s="73">
        <f>IF(LEN(T24)&gt;0,VLOOKUP(T24,'1. Lists'!$AH:$AI,2,FALSE),"")</f>
        <v>11</v>
      </c>
      <c r="T24" s="146" t="s">
        <v>396</v>
      </c>
      <c r="U24" s="76">
        <f>IF(LEN(V24)&gt;0,VLOOKUP(V24,'1. Lists'!$AE:$AF,2,FALSE),"")</f>
        <v>11</v>
      </c>
      <c r="V24" s="181" t="s">
        <v>355</v>
      </c>
      <c r="W24" s="182"/>
      <c r="X24" s="183"/>
      <c r="Z24" s="150" t="s">
        <v>796</v>
      </c>
      <c r="AA24" s="150" t="s">
        <v>797</v>
      </c>
      <c r="AB24" s="80">
        <f>IF(LEN(AC24)&gt;0,VLOOKUP(AC24,'1. Lists'!$AV$3:$AX$7,3,FALSE),"")</f>
        <v>3</v>
      </c>
      <c r="AC24" s="151" t="s">
        <v>4</v>
      </c>
      <c r="AD24" s="80">
        <f>IF(LEN(AE24)&gt;0,VLOOKUP(AE24,'1. Lists'!$AZ$3:$BB$7,3,FALSE),"")</f>
        <v>2</v>
      </c>
      <c r="AE24" s="152" t="s">
        <v>9</v>
      </c>
      <c r="AF24" s="160"/>
      <c r="AG24" s="160"/>
      <c r="AH24" s="80">
        <f>IF(LEN(AI24)&gt;0,VLOOKUP(AI24,'1. Lists'!$BD$3:$BF$15,3,FALSE),"")</f>
        <v>5</v>
      </c>
      <c r="AI24" s="142" t="s">
        <v>340</v>
      </c>
      <c r="AJ24" s="143" t="s">
        <v>68</v>
      </c>
      <c r="AK24" s="144" t="s">
        <v>461</v>
      </c>
      <c r="AL24" s="180" t="s">
        <v>424</v>
      </c>
      <c r="AM24" s="185" t="s">
        <v>762</v>
      </c>
      <c r="AN24" s="160"/>
      <c r="AO24" s="185">
        <v>0.85</v>
      </c>
      <c r="AP24" s="184" t="s">
        <v>798</v>
      </c>
      <c r="AQ24" s="160"/>
      <c r="AR24" s="160"/>
      <c r="AS24" s="160"/>
      <c r="AT24" s="160"/>
      <c r="AU24" s="144" t="s">
        <v>460</v>
      </c>
      <c r="AV24" s="80" t="str">
        <f>IF(LEN(AW24)&gt;0,VLOOKUP(AW24,'1. Lists'!$BQ:$BR,2,FALSE),"")</f>
        <v>LAST</v>
      </c>
      <c r="AW24" s="151" t="s">
        <v>190</v>
      </c>
      <c r="AX24" s="80">
        <f>IF(LEN(AY24)&gt;0,VLOOKUP(AY24,'1. Lists'!$BU$3:$BW$5,3,FALSE),"")</f>
        <v>2</v>
      </c>
      <c r="AY24" s="152" t="s">
        <v>82</v>
      </c>
      <c r="AZ24" s="155">
        <v>85</v>
      </c>
      <c r="BA24" s="159">
        <f t="shared" si="0"/>
        <v>85</v>
      </c>
      <c r="BC24" s="158">
        <v>0</v>
      </c>
      <c r="BD24" s="158">
        <v>0</v>
      </c>
      <c r="BE24" s="158">
        <v>0</v>
      </c>
      <c r="BF24" s="158">
        <v>0</v>
      </c>
      <c r="BG24" s="158">
        <v>0</v>
      </c>
      <c r="BH24" s="158">
        <v>0</v>
      </c>
      <c r="BI24" s="158">
        <v>0</v>
      </c>
      <c r="BJ24" s="158">
        <v>0</v>
      </c>
      <c r="BK24" s="158">
        <v>0</v>
      </c>
      <c r="BL24" s="158">
        <v>0</v>
      </c>
      <c r="BM24" s="158">
        <v>0</v>
      </c>
      <c r="BN24" s="158">
        <v>85</v>
      </c>
      <c r="BP24" s="80">
        <f t="shared" si="1"/>
        <v>85</v>
      </c>
      <c r="BQ24" s="80">
        <f t="shared" si="2"/>
        <v>85</v>
      </c>
      <c r="BR24" s="80">
        <f t="shared" si="3"/>
        <v>85</v>
      </c>
      <c r="BU24" s="80">
        <f t="shared" si="4"/>
        <v>85</v>
      </c>
      <c r="BV24" s="80">
        <f t="shared" si="5"/>
        <v>85</v>
      </c>
      <c r="BW24" s="80">
        <f t="shared" si="6"/>
        <v>85</v>
      </c>
    </row>
    <row r="25" spans="1:75" ht="60" x14ac:dyDescent="0.25">
      <c r="A25" s="174">
        <f t="shared" si="7"/>
        <v>22</v>
      </c>
      <c r="B25" s="80">
        <f>IF(LEN(D25)&gt;0,VLOOKUP(D25,'1. Lists'!$E$3:$J$52,6,FALSE),"")</f>
        <v>25</v>
      </c>
      <c r="C25" s="80" t="str">
        <f>IF(LEN(D25)&gt;0,VLOOKUP(D25,'1. Lists'!$E$3:$F$52,2,FALSE),"")</f>
        <v>Technical Services</v>
      </c>
      <c r="D25" s="151" t="s">
        <v>381</v>
      </c>
      <c r="E25" s="179"/>
      <c r="F25" s="65" t="str">
        <f>IF(E25&gt;0,VLOOKUP(E25,'2. Top Layer'!$A:$C,3,FALSE),"")</f>
        <v/>
      </c>
      <c r="G25" s="65" t="str">
        <f>IF(E25&gt;0,VLOOKUP(E25,'2. Top Layer'!$A:$T,17,FALSE),"")</f>
        <v/>
      </c>
      <c r="H25" s="80">
        <f>IF(LEN(I25)&gt;0,VLOOKUP(I25,'1. Lists'!$T:$U,2,FALSE),"")</f>
        <v>166</v>
      </c>
      <c r="I25" s="152" t="s">
        <v>462</v>
      </c>
      <c r="J25" s="160"/>
      <c r="K25" s="80">
        <f>IF(LEN(L25)&gt;0,VLOOKUP(L25,'1. Lists'!$AK:$AL,2,FALSE),"")</f>
        <v>6</v>
      </c>
      <c r="L25" s="144" t="s">
        <v>156</v>
      </c>
      <c r="M25" s="168">
        <f>IF(LEN(N25)&gt;0,VLOOKUP(N25,'1. Lists'!$AN:$AQ,4,FALSE),"")</f>
        <v>5</v>
      </c>
      <c r="N25" s="180" t="s">
        <v>385</v>
      </c>
      <c r="O25" s="80">
        <f>IF(LEN(P25)&gt;0,VLOOKUP(P25,'1. Lists'!$AA:$AC,3,FALSE),"")</f>
        <v>2</v>
      </c>
      <c r="P25" s="143" t="s">
        <v>39</v>
      </c>
      <c r="Q25" s="73">
        <f>IF(LEN(R25)&gt;0,VLOOKUP(R25,'1. Lists'!$W:$Y,3,FALSE),"")</f>
        <v>1</v>
      </c>
      <c r="R25" s="142" t="s">
        <v>169</v>
      </c>
      <c r="S25" s="73">
        <f>IF(LEN(T25)&gt;0,VLOOKUP(T25,'1. Lists'!$AH:$AI,2,FALSE),"")</f>
        <v>12</v>
      </c>
      <c r="T25" s="146" t="s">
        <v>397</v>
      </c>
      <c r="U25" s="76">
        <f>IF(LEN(V25)&gt;0,VLOOKUP(V25,'1. Lists'!$AE:$AF,2,FALSE),"")</f>
        <v>2</v>
      </c>
      <c r="V25" s="181" t="s">
        <v>346</v>
      </c>
      <c r="W25" s="182"/>
      <c r="X25" s="183" t="str">
        <f>IF(W25&gt;0,VLOOKUP($W25,#REF!,4,FALSE),"")</f>
        <v/>
      </c>
      <c r="Y25" s="78" t="str">
        <f>IF(W25&gt;0,VLOOKUP($W25,#REF!,10,FALSE),"")</f>
        <v/>
      </c>
      <c r="Z25" s="150" t="s">
        <v>562</v>
      </c>
      <c r="AA25" s="150" t="s">
        <v>563</v>
      </c>
      <c r="AB25" s="80">
        <f>IF(LEN(AC25)&gt;0,VLOOKUP(AC25,'1. Lists'!$AV$3:$AX$7,3,FALSE),"")</f>
        <v>2</v>
      </c>
      <c r="AC25" s="151" t="s">
        <v>13</v>
      </c>
      <c r="AD25" s="80">
        <f>IF(LEN(AE25)&gt;0,VLOOKUP(AE25,'1. Lists'!$AZ$3:$BB$7,3,FALSE),"")</f>
        <v>2</v>
      </c>
      <c r="AE25" s="152" t="s">
        <v>9</v>
      </c>
      <c r="AF25" s="160"/>
      <c r="AG25" s="160"/>
      <c r="AH25" s="80">
        <f>IF(LEN(AI25)&gt;0,VLOOKUP(AI25,'1. Lists'!$BD$3:$BF$15,3,FALSE),"")</f>
        <v>4</v>
      </c>
      <c r="AI25" s="142" t="s">
        <v>339</v>
      </c>
      <c r="AJ25" s="143" t="s">
        <v>68</v>
      </c>
      <c r="AK25" s="144" t="s">
        <v>461</v>
      </c>
      <c r="AL25" s="180" t="s">
        <v>429</v>
      </c>
      <c r="AM25" s="154">
        <v>110</v>
      </c>
      <c r="AN25" s="160"/>
      <c r="AO25" s="184" t="s">
        <v>654</v>
      </c>
      <c r="AP25" s="184" t="s">
        <v>456</v>
      </c>
      <c r="AQ25" s="160"/>
      <c r="AR25" s="160"/>
      <c r="AS25" s="160"/>
      <c r="AT25" s="160"/>
      <c r="AU25" s="144" t="s">
        <v>460</v>
      </c>
      <c r="AV25" s="80" t="str">
        <f>IF(LEN(AW25)&gt;0,VLOOKUP(AW25,'1. Lists'!$BQ:$BR,2,FALSE),"")</f>
        <v>STD</v>
      </c>
      <c r="AW25" s="151" t="s">
        <v>78</v>
      </c>
      <c r="AX25" s="80">
        <f>IF(LEN(AY25)&gt;0,VLOOKUP(AY25,'1. Lists'!$BU$3:$BW$5,3,FALSE),"")</f>
        <v>2</v>
      </c>
      <c r="AY25" s="152" t="s">
        <v>82</v>
      </c>
      <c r="AZ25" s="155">
        <v>110</v>
      </c>
      <c r="BA25" s="159">
        <f t="shared" si="0"/>
        <v>110</v>
      </c>
      <c r="BC25" s="158">
        <v>110</v>
      </c>
      <c r="BD25" s="158">
        <v>110</v>
      </c>
      <c r="BE25" s="158">
        <v>110</v>
      </c>
      <c r="BF25" s="158">
        <v>110</v>
      </c>
      <c r="BG25" s="158">
        <v>110</v>
      </c>
      <c r="BH25" s="158">
        <v>110</v>
      </c>
      <c r="BI25" s="158">
        <v>110</v>
      </c>
      <c r="BJ25" s="158">
        <v>110</v>
      </c>
      <c r="BK25" s="158">
        <v>110</v>
      </c>
      <c r="BL25" s="158">
        <v>110</v>
      </c>
      <c r="BM25" s="158">
        <v>110</v>
      </c>
      <c r="BN25" s="158">
        <v>110</v>
      </c>
      <c r="BP25" s="80">
        <f t="shared" si="1"/>
        <v>110</v>
      </c>
      <c r="BQ25" s="80">
        <f t="shared" si="2"/>
        <v>1320</v>
      </c>
      <c r="BR25" s="80">
        <f t="shared" si="3"/>
        <v>110</v>
      </c>
      <c r="BS25" s="80">
        <v>0</v>
      </c>
      <c r="BU25" s="80">
        <f t="shared" si="4"/>
        <v>110</v>
      </c>
      <c r="BV25" s="80">
        <f t="shared" si="5"/>
        <v>110</v>
      </c>
      <c r="BW25" s="80">
        <f t="shared" si="6"/>
        <v>110</v>
      </c>
    </row>
    <row r="26" spans="1:75" ht="75" x14ac:dyDescent="0.25">
      <c r="A26" s="174">
        <f t="shared" si="7"/>
        <v>23</v>
      </c>
      <c r="B26" s="80">
        <f>IF(LEN(D26)&gt;0,VLOOKUP(D26,'1. Lists'!$E$3:$J$52,6,FALSE),"")</f>
        <v>25</v>
      </c>
      <c r="C26" s="80" t="str">
        <f>IF(LEN(D26)&gt;0,VLOOKUP(D26,'1. Lists'!$E$3:$F$52,2,FALSE),"")</f>
        <v>Technical Services</v>
      </c>
      <c r="D26" s="151" t="s">
        <v>381</v>
      </c>
      <c r="E26" s="179"/>
      <c r="F26" s="65" t="str">
        <f>IF(E26&gt;0,VLOOKUP(E26,'2. Top Layer'!$A:$C,3,FALSE),"")</f>
        <v/>
      </c>
      <c r="G26" s="65" t="str">
        <f>IF(E26&gt;0,VLOOKUP(E26,'2. Top Layer'!$A:$T,17,FALSE),"")</f>
        <v/>
      </c>
      <c r="H26" s="80">
        <f>IF(LEN(I26)&gt;0,VLOOKUP(I26,'1. Lists'!$T:$U,2,FALSE),"")</f>
        <v>64</v>
      </c>
      <c r="I26" s="152" t="s">
        <v>435</v>
      </c>
      <c r="J26" s="160"/>
      <c r="K26" s="80">
        <f>IF(LEN(L26)&gt;0,VLOOKUP(L26,'1. Lists'!$AK:$AL,2,FALSE),"")</f>
        <v>9</v>
      </c>
      <c r="L26" s="144" t="s">
        <v>159</v>
      </c>
      <c r="M26" s="168">
        <f>IF(LEN(N26)&gt;0,VLOOKUP(N26,'1. Lists'!$AN:$AQ,4,FALSE),"")</f>
        <v>2</v>
      </c>
      <c r="N26" s="180" t="s">
        <v>382</v>
      </c>
      <c r="O26" s="80">
        <f>IF(LEN(P26)&gt;0,VLOOKUP(P26,'1. Lists'!$AA:$AC,3,FALSE),"")</f>
        <v>5</v>
      </c>
      <c r="P26" s="143" t="s">
        <v>42</v>
      </c>
      <c r="Q26" s="73">
        <f>IF(LEN(R26)&gt;0,VLOOKUP(R26,'1. Lists'!$W:$Y,3,FALSE),"")</f>
        <v>1</v>
      </c>
      <c r="R26" s="142" t="s">
        <v>169</v>
      </c>
      <c r="S26" s="73">
        <f>IF(LEN(T26)&gt;0,VLOOKUP(T26,'1. Lists'!$AH:$AI,2,FALSE),"")</f>
        <v>11</v>
      </c>
      <c r="T26" s="146" t="s">
        <v>396</v>
      </c>
      <c r="U26" s="76">
        <f>IF(LEN(V26)&gt;0,VLOOKUP(V26,'1. Lists'!$AE:$AF,2,FALSE),"")</f>
        <v>11</v>
      </c>
      <c r="V26" s="181" t="s">
        <v>355</v>
      </c>
      <c r="W26" s="182"/>
      <c r="X26" s="183" t="str">
        <f>IF(W26&gt;0,VLOOKUP($W26,#REF!,4,FALSE),"")</f>
        <v/>
      </c>
      <c r="Y26" s="78" t="str">
        <f>IF(W26&gt;0,VLOOKUP($W26,#REF!,10,FALSE),"")</f>
        <v/>
      </c>
      <c r="Z26" s="150" t="s">
        <v>791</v>
      </c>
      <c r="AA26" s="150" t="s">
        <v>468</v>
      </c>
      <c r="AB26" s="80">
        <f>IF(LEN(AC26)&gt;0,VLOOKUP(AC26,'1. Lists'!$AV$3:$AX$7,3,FALSE),"")</f>
        <v>2</v>
      </c>
      <c r="AC26" s="151" t="s">
        <v>13</v>
      </c>
      <c r="AD26" s="80">
        <f>IF(LEN(AE26)&gt;0,VLOOKUP(AE26,'1. Lists'!$AZ$3:$BB$7,3,FALSE),"")</f>
        <v>2</v>
      </c>
      <c r="AE26" s="152" t="s">
        <v>9</v>
      </c>
      <c r="AF26" s="160"/>
      <c r="AG26" s="160"/>
      <c r="AH26" s="80">
        <f>IF(LEN(AI26)&gt;0,VLOOKUP(AI26,'1. Lists'!$BD$3:$BF$15,3,FALSE),"")</f>
        <v>5</v>
      </c>
      <c r="AI26" s="142" t="s">
        <v>340</v>
      </c>
      <c r="AJ26" s="143" t="s">
        <v>68</v>
      </c>
      <c r="AK26" s="144" t="s">
        <v>461</v>
      </c>
      <c r="AL26" s="180" t="s">
        <v>429</v>
      </c>
      <c r="AM26" s="154">
        <v>10</v>
      </c>
      <c r="AN26" s="160"/>
      <c r="AO26" s="154" t="s">
        <v>601</v>
      </c>
      <c r="AP26" s="184" t="s">
        <v>790</v>
      </c>
      <c r="AQ26" s="160"/>
      <c r="AR26" s="160"/>
      <c r="AS26" s="160"/>
      <c r="AT26" s="160"/>
      <c r="AU26" s="144" t="s">
        <v>460</v>
      </c>
      <c r="AV26" s="80" t="str">
        <f>IF(LEN(AW26)&gt;0,VLOOKUP(AW26,'1. Lists'!$BQ:$BR,2,FALSE),"")</f>
        <v>ACC</v>
      </c>
      <c r="AW26" s="151" t="s">
        <v>14</v>
      </c>
      <c r="AX26" s="80">
        <f>IF(LEN(AY26)&gt;0,VLOOKUP(AY26,'1. Lists'!$BU$3:$BW$5,3,FALSE),"")</f>
        <v>3</v>
      </c>
      <c r="AY26" s="152" t="s">
        <v>83</v>
      </c>
      <c r="AZ26" s="155">
        <v>12</v>
      </c>
      <c r="BA26" s="159">
        <f t="shared" si="0"/>
        <v>12</v>
      </c>
      <c r="BC26" s="158">
        <v>1</v>
      </c>
      <c r="BD26" s="158">
        <v>1</v>
      </c>
      <c r="BE26" s="158">
        <v>1</v>
      </c>
      <c r="BF26" s="158">
        <v>1</v>
      </c>
      <c r="BG26" s="158">
        <v>1</v>
      </c>
      <c r="BH26" s="158">
        <v>1</v>
      </c>
      <c r="BI26" s="158">
        <v>1</v>
      </c>
      <c r="BJ26" s="158">
        <v>1</v>
      </c>
      <c r="BK26" s="158">
        <v>1</v>
      </c>
      <c r="BL26" s="158">
        <v>1</v>
      </c>
      <c r="BM26" s="158">
        <v>1</v>
      </c>
      <c r="BN26" s="158">
        <v>1</v>
      </c>
      <c r="BP26" s="80">
        <f t="shared" si="1"/>
        <v>1</v>
      </c>
      <c r="BQ26" s="80">
        <f t="shared" si="2"/>
        <v>12</v>
      </c>
      <c r="BR26" s="80">
        <f t="shared" si="3"/>
        <v>1</v>
      </c>
      <c r="BS26" s="80">
        <v>0</v>
      </c>
      <c r="BU26" s="80">
        <f t="shared" si="4"/>
        <v>1</v>
      </c>
      <c r="BV26" s="80">
        <f t="shared" si="5"/>
        <v>1</v>
      </c>
      <c r="BW26" s="80">
        <f t="shared" si="6"/>
        <v>1</v>
      </c>
    </row>
    <row r="27" spans="1:75" ht="75" x14ac:dyDescent="0.25">
      <c r="A27" s="174">
        <f t="shared" si="7"/>
        <v>24</v>
      </c>
      <c r="B27" s="80">
        <f>IF(LEN(D27)&gt;0,VLOOKUP(D27,'1. Lists'!$E$3:$J$52,6,FALSE),"")</f>
        <v>25</v>
      </c>
      <c r="C27" s="80" t="str">
        <f>IF(LEN(D27)&gt;0,VLOOKUP(D27,'1. Lists'!$E$3:$F$52,2,FALSE),"")</f>
        <v>Technical Services</v>
      </c>
      <c r="D27" s="151" t="s">
        <v>381</v>
      </c>
      <c r="E27" s="179"/>
      <c r="H27" s="80">
        <f>IF(LEN(I27)&gt;0,VLOOKUP(I27,'1. Lists'!$T:$U,2,FALSE),"")</f>
        <v>67</v>
      </c>
      <c r="I27" s="152" t="s">
        <v>437</v>
      </c>
      <c r="J27" s="160"/>
      <c r="K27" s="80">
        <f>IF(LEN(L27)&gt;0,VLOOKUP(L27,'1. Lists'!$AK:$AL,2,FALSE),"")</f>
        <v>9</v>
      </c>
      <c r="L27" s="144" t="s">
        <v>159</v>
      </c>
      <c r="M27" s="168">
        <f>IF(LEN(N27)&gt;0,VLOOKUP(N27,'1. Lists'!$AN:$AQ,4,FALSE),"")</f>
        <v>2</v>
      </c>
      <c r="N27" s="180" t="s">
        <v>382</v>
      </c>
      <c r="O27" s="80">
        <f>IF(LEN(P27)&gt;0,VLOOKUP(P27,'1. Lists'!$AA:$AC,3,FALSE),"")</f>
        <v>4</v>
      </c>
      <c r="P27" s="143" t="s">
        <v>41</v>
      </c>
      <c r="Q27" s="73">
        <f>IF(LEN(R27)&gt;0,VLOOKUP(R27,'1. Lists'!$W:$Y,3,FALSE),"")</f>
        <v>1</v>
      </c>
      <c r="R27" s="142" t="s">
        <v>169</v>
      </c>
      <c r="S27" s="73">
        <f>IF(LEN(T27)&gt;0,VLOOKUP(T27,'1. Lists'!$AH:$AI,2,FALSE),"")</f>
        <v>11</v>
      </c>
      <c r="T27" s="146" t="s">
        <v>396</v>
      </c>
      <c r="U27" s="76">
        <f>IF(LEN(V27)&gt;0,VLOOKUP(V27,'1. Lists'!$AE:$AF,2,FALSE),"")</f>
        <v>11</v>
      </c>
      <c r="V27" s="181" t="s">
        <v>355</v>
      </c>
      <c r="W27" s="182"/>
      <c r="X27" s="183"/>
      <c r="Z27" s="150" t="s">
        <v>792</v>
      </c>
      <c r="AA27" s="150" t="s">
        <v>739</v>
      </c>
      <c r="AB27" s="80">
        <f>IF(LEN(AC27)&gt;0,VLOOKUP(AC27,'1. Lists'!$AV$3:$AX$7,3,FALSE),"")</f>
        <v>2</v>
      </c>
      <c r="AC27" s="151" t="s">
        <v>13</v>
      </c>
      <c r="AD27" s="80">
        <f>IF(LEN(AE27)&gt;0,VLOOKUP(AE27,'1. Lists'!$AZ$3:$BB$7,3,FALSE),"")</f>
        <v>2</v>
      </c>
      <c r="AE27" s="152" t="s">
        <v>9</v>
      </c>
      <c r="AF27" s="160"/>
      <c r="AG27" s="160"/>
      <c r="AH27" s="80">
        <f>IF(LEN(AI27)&gt;0,VLOOKUP(AI27,'1. Lists'!$BD$3:$BF$15,3,FALSE),"")</f>
        <v>5</v>
      </c>
      <c r="AI27" s="142" t="s">
        <v>340</v>
      </c>
      <c r="AJ27" s="143" t="s">
        <v>68</v>
      </c>
      <c r="AK27" s="144" t="s">
        <v>461</v>
      </c>
      <c r="AL27" s="180" t="s">
        <v>429</v>
      </c>
      <c r="AM27" s="185" t="s">
        <v>762</v>
      </c>
      <c r="AN27" s="160"/>
      <c r="AO27" s="154" t="s">
        <v>565</v>
      </c>
      <c r="AP27" s="184" t="s">
        <v>790</v>
      </c>
      <c r="AQ27" s="160"/>
      <c r="AR27" s="160"/>
      <c r="AS27" s="160"/>
      <c r="AT27" s="160"/>
      <c r="AU27" s="144" t="s">
        <v>460</v>
      </c>
      <c r="AV27" s="80" t="str">
        <f>IF(LEN(AW27)&gt;0,VLOOKUP(AW27,'1. Lists'!$BQ:$BR,2,FALSE),"")</f>
        <v>ACC</v>
      </c>
      <c r="AW27" s="151" t="s">
        <v>14</v>
      </c>
      <c r="AX27" s="80">
        <f>IF(LEN(AY27)&gt;0,VLOOKUP(AY27,'1. Lists'!$BU$3:$BW$5,3,FALSE),"")</f>
        <v>3</v>
      </c>
      <c r="AY27" s="152" t="s">
        <v>83</v>
      </c>
      <c r="AZ27" s="155">
        <v>4</v>
      </c>
      <c r="BA27" s="159">
        <f t="shared" si="0"/>
        <v>4</v>
      </c>
      <c r="BC27" s="158">
        <v>0</v>
      </c>
      <c r="BD27" s="158">
        <v>0</v>
      </c>
      <c r="BE27" s="158">
        <v>1</v>
      </c>
      <c r="BF27" s="158">
        <v>0</v>
      </c>
      <c r="BG27" s="158">
        <v>0</v>
      </c>
      <c r="BH27" s="158">
        <v>1</v>
      </c>
      <c r="BI27" s="158">
        <v>0</v>
      </c>
      <c r="BJ27" s="158">
        <v>0</v>
      </c>
      <c r="BK27" s="158">
        <v>1</v>
      </c>
      <c r="BL27" s="158">
        <v>0</v>
      </c>
      <c r="BM27" s="158">
        <v>0</v>
      </c>
      <c r="BN27" s="158">
        <v>1</v>
      </c>
      <c r="BP27" s="80">
        <f t="shared" si="1"/>
        <v>1</v>
      </c>
      <c r="BQ27" s="80">
        <f t="shared" si="2"/>
        <v>4</v>
      </c>
      <c r="BR27" s="80">
        <f t="shared" si="3"/>
        <v>1</v>
      </c>
      <c r="BU27" s="80">
        <f t="shared" si="4"/>
        <v>1</v>
      </c>
      <c r="BV27" s="80">
        <f t="shared" si="5"/>
        <v>1</v>
      </c>
      <c r="BW27" s="80">
        <f t="shared" si="6"/>
        <v>1</v>
      </c>
    </row>
    <row r="28" spans="1:75" ht="75" x14ac:dyDescent="0.25">
      <c r="A28" s="174">
        <f t="shared" si="7"/>
        <v>25</v>
      </c>
      <c r="B28" s="80">
        <f>IF(LEN(D28)&gt;0,VLOOKUP(D28,'1. Lists'!$E$3:$J$52,6,FALSE),"")</f>
        <v>25</v>
      </c>
      <c r="C28" s="80" t="str">
        <f>IF(LEN(D28)&gt;0,VLOOKUP(D28,'1. Lists'!$E$3:$F$52,2,FALSE),"")</f>
        <v>Technical Services</v>
      </c>
      <c r="D28" s="151" t="s">
        <v>381</v>
      </c>
      <c r="E28" s="179"/>
      <c r="H28" s="80">
        <f>IF(LEN(I28)&gt;0,VLOOKUP(I28,'1. Lists'!$T:$U,2,FALSE),"")</f>
        <v>67</v>
      </c>
      <c r="I28" s="152" t="s">
        <v>437</v>
      </c>
      <c r="J28" s="160"/>
      <c r="K28" s="80">
        <f>IF(LEN(L28)&gt;0,VLOOKUP(L28,'1. Lists'!$AK:$AL,2,FALSE),"")</f>
        <v>9</v>
      </c>
      <c r="L28" s="144" t="s">
        <v>159</v>
      </c>
      <c r="M28" s="168">
        <f>IF(LEN(N28)&gt;0,VLOOKUP(N28,'1. Lists'!$AN:$AQ,4,FALSE),"")</f>
        <v>2</v>
      </c>
      <c r="N28" s="180" t="s">
        <v>382</v>
      </c>
      <c r="O28" s="80">
        <f>IF(LEN(P28)&gt;0,VLOOKUP(P28,'1. Lists'!$AA:$AC,3,FALSE),"")</f>
        <v>4</v>
      </c>
      <c r="P28" s="143" t="s">
        <v>41</v>
      </c>
      <c r="Q28" s="73">
        <f>IF(LEN(R28)&gt;0,VLOOKUP(R28,'1. Lists'!$W:$Y,3,FALSE),"")</f>
        <v>1</v>
      </c>
      <c r="R28" s="142" t="s">
        <v>169</v>
      </c>
      <c r="S28" s="73">
        <f>IF(LEN(T28)&gt;0,VLOOKUP(T28,'1. Lists'!$AH:$AI,2,FALSE),"")</f>
        <v>11</v>
      </c>
      <c r="T28" s="146" t="s">
        <v>396</v>
      </c>
      <c r="U28" s="76">
        <f>IF(LEN(V28)&gt;0,VLOOKUP(V28,'1. Lists'!$AE:$AF,2,FALSE),"")</f>
        <v>11</v>
      </c>
      <c r="V28" s="181" t="s">
        <v>355</v>
      </c>
      <c r="W28" s="182"/>
      <c r="X28" s="183"/>
      <c r="Z28" s="150" t="s">
        <v>793</v>
      </c>
      <c r="AA28" s="150" t="s">
        <v>794</v>
      </c>
      <c r="AB28" s="80">
        <f>IF(LEN(AC28)&gt;0,VLOOKUP(AC28,'1. Lists'!$AV$3:$AX$7,3,FALSE),"")</f>
        <v>2</v>
      </c>
      <c r="AC28" s="151" t="s">
        <v>13</v>
      </c>
      <c r="AD28" s="80">
        <f>IF(LEN(AE28)&gt;0,VLOOKUP(AE28,'1. Lists'!$AZ$3:$BB$7,3,FALSE),"")</f>
        <v>2</v>
      </c>
      <c r="AE28" s="152" t="s">
        <v>9</v>
      </c>
      <c r="AF28" s="160"/>
      <c r="AG28" s="160"/>
      <c r="AH28" s="80">
        <f>IF(LEN(AI28)&gt;0,VLOOKUP(AI28,'1. Lists'!$BD$3:$BF$15,3,FALSE),"")</f>
        <v>5</v>
      </c>
      <c r="AI28" s="142" t="s">
        <v>340</v>
      </c>
      <c r="AJ28" s="143" t="s">
        <v>68</v>
      </c>
      <c r="AK28" s="144" t="s">
        <v>461</v>
      </c>
      <c r="AL28" s="180" t="s">
        <v>429</v>
      </c>
      <c r="AM28" s="185" t="s">
        <v>762</v>
      </c>
      <c r="AN28" s="160"/>
      <c r="AO28" s="154" t="s">
        <v>795</v>
      </c>
      <c r="AP28" s="184" t="s">
        <v>790</v>
      </c>
      <c r="AQ28" s="160"/>
      <c r="AR28" s="160"/>
      <c r="AS28" s="160"/>
      <c r="AT28" s="160"/>
      <c r="AU28" s="144" t="s">
        <v>460</v>
      </c>
      <c r="AV28" s="80" t="str">
        <f>IF(LEN(AW28)&gt;0,VLOOKUP(AW28,'1. Lists'!$BQ:$BR,2,FALSE),"")</f>
        <v>ACC</v>
      </c>
      <c r="AW28" s="151" t="s">
        <v>14</v>
      </c>
      <c r="AX28" s="80">
        <f>IF(LEN(AY28)&gt;0,VLOOKUP(AY28,'1. Lists'!$BU$3:$BW$5,3,FALSE),"")</f>
        <v>3</v>
      </c>
      <c r="AY28" s="152" t="s">
        <v>83</v>
      </c>
      <c r="AZ28" s="155">
        <v>12</v>
      </c>
      <c r="BA28" s="159">
        <f t="shared" si="0"/>
        <v>12</v>
      </c>
      <c r="BC28" s="158">
        <v>1</v>
      </c>
      <c r="BD28" s="158">
        <v>1</v>
      </c>
      <c r="BE28" s="158">
        <v>1</v>
      </c>
      <c r="BF28" s="158">
        <v>1</v>
      </c>
      <c r="BG28" s="158">
        <v>1</v>
      </c>
      <c r="BH28" s="158">
        <v>1</v>
      </c>
      <c r="BI28" s="158">
        <v>1</v>
      </c>
      <c r="BJ28" s="158">
        <v>1</v>
      </c>
      <c r="BK28" s="158">
        <v>1</v>
      </c>
      <c r="BL28" s="158">
        <v>1</v>
      </c>
      <c r="BM28" s="158">
        <v>1</v>
      </c>
      <c r="BN28" s="158">
        <v>1</v>
      </c>
      <c r="BP28" s="80">
        <f t="shared" si="1"/>
        <v>1</v>
      </c>
      <c r="BQ28" s="80">
        <f t="shared" si="2"/>
        <v>12</v>
      </c>
      <c r="BR28" s="80">
        <f t="shared" si="3"/>
        <v>1</v>
      </c>
      <c r="BU28" s="80">
        <f t="shared" si="4"/>
        <v>1</v>
      </c>
      <c r="BV28" s="80">
        <f t="shared" si="5"/>
        <v>1</v>
      </c>
      <c r="BW28" s="80">
        <f t="shared" si="6"/>
        <v>1</v>
      </c>
    </row>
    <row r="29" spans="1:75" ht="75" x14ac:dyDescent="0.25">
      <c r="A29" s="174">
        <f t="shared" si="7"/>
        <v>26</v>
      </c>
      <c r="B29" s="80">
        <f>IF(LEN(D29)&gt;0,VLOOKUP(D29,'1. Lists'!$E$3:$J$52,6,FALSE),"")</f>
        <v>25</v>
      </c>
      <c r="C29" s="80" t="str">
        <f>IF(LEN(D29)&gt;0,VLOOKUP(D29,'1. Lists'!$E$3:$F$52,2,FALSE),"")</f>
        <v>Technical Services</v>
      </c>
      <c r="D29" s="151" t="s">
        <v>381</v>
      </c>
      <c r="E29" s="179"/>
      <c r="H29" s="80">
        <f>IF(LEN(I29)&gt;0,VLOOKUP(I29,'1. Lists'!$T:$U,2,FALSE),"")</f>
        <v>67</v>
      </c>
      <c r="I29" s="152" t="s">
        <v>437</v>
      </c>
      <c r="J29" s="160"/>
      <c r="K29" s="80">
        <f>IF(LEN(L29)&gt;0,VLOOKUP(L29,'1. Lists'!$AK:$AL,2,FALSE),"")</f>
        <v>9</v>
      </c>
      <c r="L29" s="144" t="s">
        <v>159</v>
      </c>
      <c r="M29" s="168">
        <f>IF(LEN(N29)&gt;0,VLOOKUP(N29,'1. Lists'!$AN:$AQ,4,FALSE),"")</f>
        <v>2</v>
      </c>
      <c r="N29" s="180" t="s">
        <v>382</v>
      </c>
      <c r="O29" s="80">
        <f>IF(LEN(P29)&gt;0,VLOOKUP(P29,'1. Lists'!$AA:$AC,3,FALSE),"")</f>
        <v>4</v>
      </c>
      <c r="P29" s="143" t="s">
        <v>41</v>
      </c>
      <c r="Q29" s="73">
        <f>IF(LEN(R29)&gt;0,VLOOKUP(R29,'1. Lists'!$W:$Y,3,FALSE),"")</f>
        <v>1</v>
      </c>
      <c r="R29" s="142" t="s">
        <v>169</v>
      </c>
      <c r="S29" s="73">
        <f>IF(LEN(T29)&gt;0,VLOOKUP(T29,'1. Lists'!$AH:$AI,2,FALSE),"")</f>
        <v>11</v>
      </c>
      <c r="T29" s="146" t="s">
        <v>396</v>
      </c>
      <c r="U29" s="76">
        <f>IF(LEN(V29)&gt;0,VLOOKUP(V29,'1. Lists'!$AE:$AF,2,FALSE),"")</f>
        <v>11</v>
      </c>
      <c r="V29" s="181" t="s">
        <v>355</v>
      </c>
      <c r="W29" s="182"/>
      <c r="X29" s="183"/>
      <c r="Z29" s="150" t="s">
        <v>796</v>
      </c>
      <c r="AA29" s="150" t="s">
        <v>797</v>
      </c>
      <c r="AB29" s="80">
        <f>IF(LEN(AC29)&gt;0,VLOOKUP(AC29,'1. Lists'!$AV$3:$AX$7,3,FALSE),"")</f>
        <v>3</v>
      </c>
      <c r="AC29" s="151" t="s">
        <v>4</v>
      </c>
      <c r="AD29" s="80">
        <f>IF(LEN(AE29)&gt;0,VLOOKUP(AE29,'1. Lists'!$AZ$3:$BB$7,3,FALSE),"")</f>
        <v>2</v>
      </c>
      <c r="AE29" s="152" t="s">
        <v>9</v>
      </c>
      <c r="AF29" s="160"/>
      <c r="AG29" s="160"/>
      <c r="AH29" s="80">
        <f>IF(LEN(AI29)&gt;0,VLOOKUP(AI29,'1. Lists'!$BD$3:$BF$15,3,FALSE),"")</f>
        <v>5</v>
      </c>
      <c r="AI29" s="142" t="s">
        <v>340</v>
      </c>
      <c r="AJ29" s="143" t="s">
        <v>68</v>
      </c>
      <c r="AK29" s="144" t="s">
        <v>461</v>
      </c>
      <c r="AL29" s="180" t="s">
        <v>429</v>
      </c>
      <c r="AM29" s="185" t="s">
        <v>762</v>
      </c>
      <c r="AN29" s="160"/>
      <c r="AO29" s="185">
        <v>0.85</v>
      </c>
      <c r="AP29" s="184" t="s">
        <v>798</v>
      </c>
      <c r="AQ29" s="160"/>
      <c r="AR29" s="160"/>
      <c r="AS29" s="160"/>
      <c r="AT29" s="160"/>
      <c r="AU29" s="144" t="s">
        <v>460</v>
      </c>
      <c r="AV29" s="80" t="str">
        <f>IF(LEN(AW29)&gt;0,VLOOKUP(AW29,'1. Lists'!$BQ:$BR,2,FALSE),"")</f>
        <v>LAST</v>
      </c>
      <c r="AW29" s="151" t="s">
        <v>190</v>
      </c>
      <c r="AX29" s="80">
        <f>IF(LEN(AY29)&gt;0,VLOOKUP(AY29,'1. Lists'!$BU$3:$BW$5,3,FALSE),"")</f>
        <v>2</v>
      </c>
      <c r="AY29" s="152" t="s">
        <v>82</v>
      </c>
      <c r="AZ29" s="155">
        <v>85</v>
      </c>
      <c r="BA29" s="159">
        <f t="shared" si="0"/>
        <v>85</v>
      </c>
      <c r="BC29" s="158">
        <v>0</v>
      </c>
      <c r="BD29" s="158">
        <v>0</v>
      </c>
      <c r="BE29" s="158">
        <v>0</v>
      </c>
      <c r="BF29" s="158">
        <v>0</v>
      </c>
      <c r="BG29" s="158">
        <v>0</v>
      </c>
      <c r="BH29" s="158">
        <v>0</v>
      </c>
      <c r="BI29" s="158">
        <v>0</v>
      </c>
      <c r="BJ29" s="158">
        <v>0</v>
      </c>
      <c r="BK29" s="158">
        <v>0</v>
      </c>
      <c r="BL29" s="158">
        <v>0</v>
      </c>
      <c r="BM29" s="158">
        <v>0</v>
      </c>
      <c r="BN29" s="158">
        <v>85</v>
      </c>
      <c r="BP29" s="80">
        <f t="shared" si="1"/>
        <v>85</v>
      </c>
      <c r="BQ29" s="80">
        <f t="shared" si="2"/>
        <v>85</v>
      </c>
      <c r="BR29" s="80">
        <f t="shared" si="3"/>
        <v>85</v>
      </c>
      <c r="BU29" s="80">
        <f t="shared" si="4"/>
        <v>85</v>
      </c>
      <c r="BV29" s="80">
        <f t="shared" si="5"/>
        <v>85</v>
      </c>
      <c r="BW29" s="80">
        <f t="shared" si="6"/>
        <v>85</v>
      </c>
    </row>
  </sheetData>
  <mergeCells count="16">
    <mergeCell ref="AH2:AI2"/>
    <mergeCell ref="AV2:AW2"/>
    <mergeCell ref="AX2:AY2"/>
    <mergeCell ref="BP2:BW2"/>
    <mergeCell ref="Q2:R2"/>
    <mergeCell ref="S2:T2"/>
    <mergeCell ref="U2:V2"/>
    <mergeCell ref="W2:Y2"/>
    <mergeCell ref="AB2:AC2"/>
    <mergeCell ref="AD2:AE2"/>
    <mergeCell ref="O2:P2"/>
    <mergeCell ref="B2:D2"/>
    <mergeCell ref="E2:G2"/>
    <mergeCell ref="H2:I2"/>
    <mergeCell ref="K2:L2"/>
    <mergeCell ref="M2:N2"/>
  </mergeCells>
  <conditionalFormatting sqref="AF7:AG7 AM7:AT7 T7 V7">
    <cfRule type="expression" dxfId="136" priority="72">
      <formula>LEN(T7)&gt;(MID(T$3,1,FIND(" ",T$3)-1)*1)</formula>
    </cfRule>
  </conditionalFormatting>
  <conditionalFormatting sqref="AJ7:AK7">
    <cfRule type="expression" dxfId="135" priority="64">
      <formula>IF((LEN(AJ7)+$A7)=$A7,IF($A7&gt;0,TRUE,FALSE),FALSE)</formula>
    </cfRule>
  </conditionalFormatting>
  <conditionalFormatting sqref="AB11:AB13 AD11:AD13 G30:H1048576 AV30:AV1048576 AX30:AX1048576 AB30:AB1048576 K30:K1048576 M30:M1048576 O30:O1048576 Q30:Q1048576 U30:U1048576 S30:S1048576 B4:C1048576">
    <cfRule type="containsErrors" dxfId="134" priority="52">
      <formula>ISERROR(B4)</formula>
    </cfRule>
  </conditionalFormatting>
  <conditionalFormatting sqref="Z15:AA18 AF15:AG18 T15:T18 V15:V18 AM15:AT18">
    <cfRule type="expression" dxfId="133" priority="45">
      <formula>LEN(T15)&gt;(MID(T$3,1,FIND(" ",T$3)-1)*1)</formula>
    </cfRule>
  </conditionalFormatting>
  <conditionalFormatting sqref="AI15">
    <cfRule type="expression" dxfId="132" priority="40">
      <formula>IF((LEN(AI15)+$A15)=$A15,IF($A15&gt;0,TRUE,FALSE),FALSE)</formula>
    </cfRule>
  </conditionalFormatting>
  <conditionalFormatting sqref="AC18 AE18">
    <cfRule type="expression" dxfId="131" priority="38">
      <formula>IF((LEN(AC18)+$A18)=$A18,IF($A18&gt;0,TRUE,FALSE),FALSE)</formula>
    </cfRule>
  </conditionalFormatting>
  <conditionalFormatting sqref="AB1 Q1 O1 M1 K1 G1:H1 AV1 AX1 B1:C1 F4:H4 U4 S4 M4 K4 AX4 O4 Q4 AH4 AD4 AV4 AB4 S14 U14 Q14 O14 K14 F14:H14 AD14 AB14 AH14 AX14 AV14 AV19:AV20 AX19:AX20 AH19:AH20 AB19:AB20 AD19:AD20 F19:H20 K19:K20 M19:M20 O19:O20 Q19:Q20 U19:U20 S19:S20 S25 U25 Q25 O25 M25 K25 F25:H25 AD25 AB25 AH25 AX25 AV25 F12:G13">
    <cfRule type="containsErrors" dxfId="130" priority="216">
      <formula>ISERROR(B1)</formula>
    </cfRule>
  </conditionalFormatting>
  <conditionalFormatting sqref="C4:C29">
    <cfRule type="containsBlanks" dxfId="129" priority="210">
      <formula>LEN(TRIM(C4))=0</formula>
    </cfRule>
    <cfRule type="cellIs" dxfId="128" priority="211" operator="notEqual">
      <formula>$C$1</formula>
    </cfRule>
  </conditionalFormatting>
  <conditionalFormatting sqref="J4 J12:J14 J19:J20 J25">
    <cfRule type="expression" dxfId="127" priority="215">
      <formula>LEN(J4)&gt;(MID($J$3,1,FIND(" ",$J$3)-1)*1)</formula>
    </cfRule>
  </conditionalFormatting>
  <conditionalFormatting sqref="AM4:AT4 V4 AF4:AG4 T4 V14 T14 AM14:AT14 AF12:AG14 Z14:AA14 Z19:AA20 AF19:AG20 AM19:AT20 T19:T20 V19:V20 V25 T25 AM25:AT25 AF25:AG25 Z25:AA25 AN12:AO13 AQ12:AT13">
    <cfRule type="expression" dxfId="126" priority="214">
      <formula>LEN(T4)&gt;(MID(T$3,1,FIND(" ",T$3)-1)*1)</formula>
    </cfRule>
  </conditionalFormatting>
  <conditionalFormatting sqref="C4:C29">
    <cfRule type="containsBlanks" dxfId="125" priority="213">
      <formula>LEN(TRIM(C4))=0</formula>
    </cfRule>
  </conditionalFormatting>
  <conditionalFormatting sqref="AI4:AL4 AU4 V4 I4 AY4 AW4 AE4 AC4 R4 P4 N4 L4 T4 V14 T14 P14 R14 L14 AU12:AU14 AE14 AC14 AI14:AL14 AY14 AW13:AW14 Z14 Z19:Z20 AW19:AW20 AY19:AY20 AI19:AL20 AC19:AC20 AE19:AE20 AU19:AU20 I19:I20 L19:L20 R19:R20 P19:P20 N19:N20 T19:T20 V19:V20 V25 T25 N25 P25 R25 L25 I25 AU25 AE25 AC25 AI25:AL25 AY25 AW25 Z25 D4:D29 I14:I15 N12:N14 AL5:AL13 AL15:AL18 AL21:AL24 AL26:AL29">
    <cfRule type="expression" dxfId="124" priority="212">
      <formula>IF((LEN(D4)+$A4)=$A4,IF($A4&gt;0,TRUE,FALSE),FALSE)</formula>
    </cfRule>
  </conditionalFormatting>
  <conditionalFormatting sqref="X4 X12:X14 X19:X20 X25">
    <cfRule type="expression" dxfId="123" priority="209">
      <formula>IF(LEN(W4)&gt;0,IF(X4&lt;&gt;D4,TRUE,FALSE),FALSE)</formula>
    </cfRule>
  </conditionalFormatting>
  <conditionalFormatting sqref="X4:Y4 X12:Y14 X19:Y20 X25:Y25">
    <cfRule type="containsErrors" dxfId="122" priority="208">
      <formula>ISERROR(X4)</formula>
    </cfRule>
  </conditionalFormatting>
  <conditionalFormatting sqref="S1">
    <cfRule type="containsErrors" dxfId="121" priority="122">
      <formula>ISERROR(S1)</formula>
    </cfRule>
  </conditionalFormatting>
  <conditionalFormatting sqref="U1">
    <cfRule type="containsErrors" dxfId="120" priority="116">
      <formula>ISERROR(U1)</formula>
    </cfRule>
  </conditionalFormatting>
  <conditionalFormatting sqref="F3:G3 AV3 AX3 B3:C3">
    <cfRule type="containsErrors" dxfId="119" priority="105">
      <formula>ISERROR(B3)</formula>
    </cfRule>
  </conditionalFormatting>
  <conditionalFormatting sqref="BP4:BW4 BP14:BW14 BP19:BW20 BP25:BW25">
    <cfRule type="expression" dxfId="118" priority="89">
      <formula>IF(BP$3=$AV4,TRUE,FALSE)</formula>
    </cfRule>
  </conditionalFormatting>
  <conditionalFormatting sqref="M5:M6 K5:K6 O5:O6 Q5:Q6 S5:S6 AB5:AB6 AD5:AD6 AH5:AH6 AV5:AV6 AX5:AX6 F5:H6">
    <cfRule type="containsErrors" dxfId="117" priority="86">
      <formula>ISERROR(F5)</formula>
    </cfRule>
  </conditionalFormatting>
  <conditionalFormatting sqref="J5:J6">
    <cfRule type="expression" dxfId="116" priority="85">
      <formula>LEN(J5)&gt;(MID($J$3,1,FIND(" ",$J$3)-1)*1)</formula>
    </cfRule>
  </conditionalFormatting>
  <conditionalFormatting sqref="I5:I6 R5:R6 P5:P6 N5:N6 L5:L6">
    <cfRule type="expression" dxfId="115" priority="84">
      <formula>IF((LEN(I5)+$A5)=$A5,IF($A5&gt;0,TRUE,FALSE),FALSE)</formula>
    </cfRule>
  </conditionalFormatting>
  <conditionalFormatting sqref="X5:X6">
    <cfRule type="expression" dxfId="114" priority="83">
      <formula>IF(LEN(W5)&gt;0,IF(X5&lt;&gt;D5,TRUE,FALSE),FALSE)</formula>
    </cfRule>
  </conditionalFormatting>
  <conditionalFormatting sqref="X5:Y6">
    <cfRule type="containsErrors" dxfId="113" priority="82">
      <formula>ISERROR(X5)</formula>
    </cfRule>
  </conditionalFormatting>
  <conditionalFormatting sqref="AM5:AM6">
    <cfRule type="expression" dxfId="112" priority="81">
      <formula>LEN(AM5)&gt;(MID(AM$3,1,FIND(" ",AM$3)-1)*1)</formula>
    </cfRule>
  </conditionalFormatting>
  <conditionalFormatting sqref="U5:U6">
    <cfRule type="containsErrors" dxfId="111" priority="80">
      <formula>ISERROR(U5)</formula>
    </cfRule>
  </conditionalFormatting>
  <conditionalFormatting sqref="AF5:AG6 V5:V6 AN5:AT6">
    <cfRule type="expression" dxfId="110" priority="79">
      <formula>LEN(V5)&gt;(MID(V$3,1,FIND(" ",V$3)-1)*1)</formula>
    </cfRule>
  </conditionalFormatting>
  <conditionalFormatting sqref="V5:V6 AC5:AC6 AE5:AE6 AW5:AW6 AY5:AY6 AI5:AK6">
    <cfRule type="expression" dxfId="109" priority="78">
      <formula>IF((LEN(V5)+$A5)=$A5,IF($A5&gt;0,TRUE,FALSE),FALSE)</formula>
    </cfRule>
  </conditionalFormatting>
  <conditionalFormatting sqref="BP5:BW6">
    <cfRule type="expression" dxfId="108" priority="77">
      <formula>IF(BP$3=$AV5,TRUE,FALSE)</formula>
    </cfRule>
  </conditionalFormatting>
  <conditionalFormatting sqref="T5:T6">
    <cfRule type="expression" dxfId="107" priority="76">
      <formula>IF((LEN(T5)+$A5)=$A5,IF($A5&gt;0,TRUE,FALSE),FALSE)</formula>
    </cfRule>
  </conditionalFormatting>
  <conditionalFormatting sqref="AU5:AU6">
    <cfRule type="expression" dxfId="106" priority="75">
      <formula>IF((LEN(AU5)+$A5)=$A5,IF($A5&gt;0,TRUE,FALSE),FALSE)</formula>
    </cfRule>
  </conditionalFormatting>
  <conditionalFormatting sqref="F7:H7 K7 M7 O7 Q7 U7 S7">
    <cfRule type="containsErrors" dxfId="105" priority="74">
      <formula>ISERROR(F7)</formula>
    </cfRule>
  </conditionalFormatting>
  <conditionalFormatting sqref="J7">
    <cfRule type="expression" dxfId="104" priority="73">
      <formula>LEN(J7)&gt;(MID($J$3,1,FIND(" ",$J$3)-1)*1)</formula>
    </cfRule>
  </conditionalFormatting>
  <conditionalFormatting sqref="AU7 L7 R7 P7 N7 T7 V7">
    <cfRule type="expression" dxfId="103" priority="71">
      <formula>IF((LEN(L7)+$A7)=$A7,IF($A7&gt;0,TRUE,FALSE),FALSE)</formula>
    </cfRule>
  </conditionalFormatting>
  <conditionalFormatting sqref="X7">
    <cfRule type="expression" dxfId="102" priority="70">
      <formula>IF(LEN(W7)&gt;0,IF(X7&lt;&gt;D7,TRUE,FALSE),FALSE)</formula>
    </cfRule>
  </conditionalFormatting>
  <conditionalFormatting sqref="X7:Y7">
    <cfRule type="containsErrors" dxfId="101" priority="69">
      <formula>ISERROR(X7)</formula>
    </cfRule>
  </conditionalFormatting>
  <conditionalFormatting sqref="BP7:BW7 BP12:BW13">
    <cfRule type="expression" dxfId="100" priority="68">
      <formula>IF(BP$3=$AV7,TRUE,FALSE)</formula>
    </cfRule>
  </conditionalFormatting>
  <conditionalFormatting sqref="AB7 AD7">
    <cfRule type="containsErrors" dxfId="99" priority="67">
      <formula>ISERROR(AB7)</formula>
    </cfRule>
  </conditionalFormatting>
  <conditionalFormatting sqref="AC7 AE7">
    <cfRule type="expression" dxfId="98" priority="66">
      <formula>IF((LEN(AC7)+$A7)=$A7,IF($A7&gt;0,TRUE,FALSE),FALSE)</formula>
    </cfRule>
  </conditionalFormatting>
  <conditionalFormatting sqref="AH7">
    <cfRule type="containsErrors" dxfId="97" priority="65">
      <formula>ISERROR(AH7)</formula>
    </cfRule>
  </conditionalFormatting>
  <conditionalFormatting sqref="AI7">
    <cfRule type="expression" dxfId="96" priority="63">
      <formula>IF((LEN(AI7)+$A7)=$A7,IF($A7&gt;0,TRUE,FALSE),FALSE)</formula>
    </cfRule>
  </conditionalFormatting>
  <conditionalFormatting sqref="AV7 AX7">
    <cfRule type="containsErrors" dxfId="95" priority="62">
      <formula>ISERROR(AV7)</formula>
    </cfRule>
  </conditionalFormatting>
  <conditionalFormatting sqref="AW7 AY7">
    <cfRule type="expression" dxfId="94" priority="61">
      <formula>IF((LEN(AW7)+$A7)=$A7,IF($A7&gt;0,TRUE,FALSE),FALSE)</formula>
    </cfRule>
  </conditionalFormatting>
  <conditionalFormatting sqref="AH8 F8:H11 AD8:AD10 AB8:AB10 H12:H13 K8:K13 M8:M14 O8:O13 Q8:Q13 U8:U13 S8:S13 AV8:AV13 AX8:AX13">
    <cfRule type="containsErrors" dxfId="93" priority="60">
      <formula>ISERROR(F8)</formula>
    </cfRule>
  </conditionalFormatting>
  <conditionalFormatting sqref="J8:J11">
    <cfRule type="expression" dxfId="92" priority="59">
      <formula>LEN(J8)&gt;(MID($J$3,1,FIND(" ",$J$3)-1)*1)</formula>
    </cfRule>
  </conditionalFormatting>
  <conditionalFormatting sqref="AF8:AG11 AM8:AT11 T8:T13 V8:V13 AM12:AM13 AP12:AP13">
    <cfRule type="expression" dxfId="91" priority="58">
      <formula>LEN(T8)&gt;(MID(T$3,1,FIND(" ",T$3)-1)*1)</formula>
    </cfRule>
  </conditionalFormatting>
  <conditionalFormatting sqref="AU8:AU11 AJ8:AK8 N8:N11 AE8:AE10 AC8:AC10 L8:L13 P8:P13 R8:R13 T8:T13 V8:V13 AW8:AW12 AY8:AY13">
    <cfRule type="expression" dxfId="90" priority="57">
      <formula>IF((LEN(L8)+$A8)=$A8,IF($A8&gt;0,TRUE,FALSE),FALSE)</formula>
    </cfRule>
  </conditionalFormatting>
  <conditionalFormatting sqref="X8:X11">
    <cfRule type="expression" dxfId="89" priority="56">
      <formula>IF(LEN(W8)&gt;0,IF(X8&lt;&gt;D8,TRUE,FALSE),FALSE)</formula>
    </cfRule>
  </conditionalFormatting>
  <conditionalFormatting sqref="X8:Y11">
    <cfRule type="containsErrors" dxfId="88" priority="55">
      <formula>ISERROR(X8)</formula>
    </cfRule>
  </conditionalFormatting>
  <conditionalFormatting sqref="BP8:BW11">
    <cfRule type="expression" dxfId="87" priority="54">
      <formula>IF(BP$3=$AV8,TRUE,FALSE)</formula>
    </cfRule>
  </conditionalFormatting>
  <conditionalFormatting sqref="AI8">
    <cfRule type="expression" dxfId="86" priority="53">
      <formula>IF((LEN(AI8)+$A8)=$A8,IF($A8&gt;0,TRUE,FALSE),FALSE)</formula>
    </cfRule>
  </conditionalFormatting>
  <conditionalFormatting sqref="AC11:AC13 AE11:AE13">
    <cfRule type="expression" dxfId="85" priority="51">
      <formula>IF((LEN(AC11)+$A11)=$A11,IF($A11&gt;0,TRUE,FALSE),FALSE)</formula>
    </cfRule>
  </conditionalFormatting>
  <conditionalFormatting sqref="AH9:AH11">
    <cfRule type="containsErrors" dxfId="84" priority="50">
      <formula>ISERROR(AH9)</formula>
    </cfRule>
  </conditionalFormatting>
  <conditionalFormatting sqref="AJ9:AK11">
    <cfRule type="expression" dxfId="83" priority="49">
      <formula>IF((LEN(AJ9)+$A9)=$A9,IF($A9&gt;0,TRUE,FALSE),FALSE)</formula>
    </cfRule>
  </conditionalFormatting>
  <conditionalFormatting sqref="AI9:AI11">
    <cfRule type="expression" dxfId="82" priority="48">
      <formula>IF((LEN(AI9)+$A9)=$A9,IF($A9&gt;0,TRUE,FALSE),FALSE)</formula>
    </cfRule>
  </conditionalFormatting>
  <conditionalFormatting sqref="AH15 F15:H18 K15:K18 M15:M18 O15:O18 Q15:Q18 U15:U18 S15:S18 AD15:AD17 AB15:AB17 AV15:AV18 AX15:AX18">
    <cfRule type="containsErrors" dxfId="81" priority="47">
      <formula>ISERROR(F15)</formula>
    </cfRule>
  </conditionalFormatting>
  <conditionalFormatting sqref="J15:J18">
    <cfRule type="expression" dxfId="80" priority="46">
      <formula>LEN(J15)&gt;(MID($J$3,1,FIND(" ",$J$3)-1)*1)</formula>
    </cfRule>
  </conditionalFormatting>
  <conditionalFormatting sqref="AU15:AU18 Z15:Z18 AJ15:AK15 I16:I18 L15:L18 N15:N18 P15:P18 R15:R18 T15:T18 V15:V18 AE15:AE17 AC15:AC17 AY15:AY18 AW15:AW18">
    <cfRule type="expression" dxfId="79" priority="44">
      <formula>IF((LEN(I15)+$A15)=$A15,IF($A15&gt;0,TRUE,FALSE),FALSE)</formula>
    </cfRule>
  </conditionalFormatting>
  <conditionalFormatting sqref="X15:X18">
    <cfRule type="expression" dxfId="78" priority="43">
      <formula>IF(LEN(W15)&gt;0,IF(X15&lt;&gt;D15,TRUE,FALSE),FALSE)</formula>
    </cfRule>
  </conditionalFormatting>
  <conditionalFormatting sqref="X15:Y18">
    <cfRule type="containsErrors" dxfId="77" priority="42">
      <formula>ISERROR(X15)</formula>
    </cfRule>
  </conditionalFormatting>
  <conditionalFormatting sqref="BP15:BW18">
    <cfRule type="expression" dxfId="76" priority="41">
      <formula>IF(BP$3=$AV15,TRUE,FALSE)</formula>
    </cfRule>
  </conditionalFormatting>
  <conditionalFormatting sqref="AB18 AD18">
    <cfRule type="containsErrors" dxfId="75" priority="39">
      <formula>ISERROR(AB18)</formula>
    </cfRule>
  </conditionalFormatting>
  <conditionalFormatting sqref="AH16:AH18">
    <cfRule type="containsErrors" dxfId="74" priority="37">
      <formula>ISERROR(AH16)</formula>
    </cfRule>
  </conditionalFormatting>
  <conditionalFormatting sqref="AJ16:AK18">
    <cfRule type="expression" dxfId="73" priority="36">
      <formula>IF((LEN(AJ16)+$A16)=$A16,IF($A16&gt;0,TRUE,FALSE),FALSE)</formula>
    </cfRule>
  </conditionalFormatting>
  <conditionalFormatting sqref="AI16:AI18">
    <cfRule type="expression" dxfId="72" priority="35">
      <formula>IF((LEN(AI16)+$A16)=$A16,IF($A16&gt;0,TRUE,FALSE),FALSE)</formula>
    </cfRule>
  </conditionalFormatting>
  <conditionalFormatting sqref="AH21 F21:H24 K21:K24 M21:M24 O21:O24 Q21:Q24 U21:U24 S21:S24 AD21:AD23 AB21:AB23 AV21:AV24 AX21:AX24">
    <cfRule type="containsErrors" dxfId="71" priority="34">
      <formula>ISERROR(F21)</formula>
    </cfRule>
  </conditionalFormatting>
  <conditionalFormatting sqref="J21:J24">
    <cfRule type="expression" dxfId="70" priority="33">
      <formula>LEN(J21)&gt;(MID($J$3,1,FIND(" ",$J$3)-1)*1)</formula>
    </cfRule>
  </conditionalFormatting>
  <conditionalFormatting sqref="Z21:AA24 AF21:AG24 T21:T24 V21:V24 AM21:AT24">
    <cfRule type="expression" dxfId="69" priority="32">
      <formula>LEN(T21)&gt;(MID(T$3,1,FIND(" ",T$3)-1)*1)</formula>
    </cfRule>
  </conditionalFormatting>
  <conditionalFormatting sqref="AU21:AU24 Z21:Z24 AJ21:AK21 I22:I24 L21:L24 N21:N24 P21:P24 R21:R24 T21:T24 V21:V24 AE21:AE23 AC21:AC23 AY21:AY24 AW21:AW24">
    <cfRule type="expression" dxfId="68" priority="31">
      <formula>IF((LEN(I21)+$A21)=$A21,IF($A21&gt;0,TRUE,FALSE),FALSE)</formula>
    </cfRule>
  </conditionalFormatting>
  <conditionalFormatting sqref="X21:X24">
    <cfRule type="expression" dxfId="67" priority="30">
      <formula>IF(LEN(W21)&gt;0,IF(X21&lt;&gt;D21,TRUE,FALSE),FALSE)</formula>
    </cfRule>
  </conditionalFormatting>
  <conditionalFormatting sqref="X21:Y24">
    <cfRule type="containsErrors" dxfId="66" priority="29">
      <formula>ISERROR(X21)</formula>
    </cfRule>
  </conditionalFormatting>
  <conditionalFormatting sqref="BP21:BW24">
    <cfRule type="expression" dxfId="65" priority="28">
      <formula>IF(BP$3=$AV21,TRUE,FALSE)</formula>
    </cfRule>
  </conditionalFormatting>
  <conditionalFormatting sqref="AI21">
    <cfRule type="expression" dxfId="64" priority="27">
      <formula>IF((LEN(AI21)+$A21)=$A21,IF($A21&gt;0,TRUE,FALSE),FALSE)</formula>
    </cfRule>
  </conditionalFormatting>
  <conditionalFormatting sqref="AB24 AD24">
    <cfRule type="containsErrors" dxfId="63" priority="26">
      <formula>ISERROR(AB24)</formula>
    </cfRule>
  </conditionalFormatting>
  <conditionalFormatting sqref="AC24 AE24">
    <cfRule type="expression" dxfId="62" priority="25">
      <formula>IF((LEN(AC24)+$A24)=$A24,IF($A24&gt;0,TRUE,FALSE),FALSE)</formula>
    </cfRule>
  </conditionalFormatting>
  <conditionalFormatting sqref="AH22:AH24">
    <cfRule type="containsErrors" dxfId="61" priority="24">
      <formula>ISERROR(AH22)</formula>
    </cfRule>
  </conditionalFormatting>
  <conditionalFormatting sqref="AJ22:AK24">
    <cfRule type="expression" dxfId="60" priority="23">
      <formula>IF((LEN(AJ22)+$A22)=$A22,IF($A22&gt;0,TRUE,FALSE),FALSE)</formula>
    </cfRule>
  </conditionalFormatting>
  <conditionalFormatting sqref="AI22:AI24">
    <cfRule type="expression" dxfId="59" priority="22">
      <formula>IF((LEN(AI22)+$A22)=$A22,IF($A22&gt;0,TRUE,FALSE),FALSE)</formula>
    </cfRule>
  </conditionalFormatting>
  <conditionalFormatting sqref="AH26 F26:H29 K26:K29 M26:M29 O26:O29 Q26:Q29 U26:U29 S26:S29 AD26:AD28 AB26:AB28 AV26:AV29 AX26:AX29">
    <cfRule type="containsErrors" dxfId="58" priority="21">
      <formula>ISERROR(F26)</formula>
    </cfRule>
  </conditionalFormatting>
  <conditionalFormatting sqref="J26:J29">
    <cfRule type="expression" dxfId="57" priority="20">
      <formula>LEN(J26)&gt;(MID($J$3,1,FIND(" ",$J$3)-1)*1)</formula>
    </cfRule>
  </conditionalFormatting>
  <conditionalFormatting sqref="Z26:AA29 AF26:AG29 T26:T29 V26:V29 AM26:AT29">
    <cfRule type="expression" dxfId="56" priority="19">
      <formula>LEN(T26)&gt;(MID(T$3,1,FIND(" ",T$3)-1)*1)</formula>
    </cfRule>
  </conditionalFormatting>
  <conditionalFormatting sqref="AU26:AU29 Z26:Z29 AJ26:AK26 I27:I29 L26:L29 N26:N29 P26:P29 R26:R29 T26:T29 V26:V29 AE26:AE28 AC26:AC28 AY26:AY29 AW26:AW29">
    <cfRule type="expression" dxfId="55" priority="18">
      <formula>IF((LEN(I26)+$A26)=$A26,IF($A26&gt;0,TRUE,FALSE),FALSE)</formula>
    </cfRule>
  </conditionalFormatting>
  <conditionalFormatting sqref="X26:X29">
    <cfRule type="expression" dxfId="54" priority="17">
      <formula>IF(LEN(W26)&gt;0,IF(X26&lt;&gt;D26,TRUE,FALSE),FALSE)</formula>
    </cfRule>
  </conditionalFormatting>
  <conditionalFormatting sqref="X26:Y29">
    <cfRule type="containsErrors" dxfId="53" priority="16">
      <formula>ISERROR(X26)</formula>
    </cfRule>
  </conditionalFormatting>
  <conditionalFormatting sqref="BP26:BW29">
    <cfRule type="expression" dxfId="52" priority="15">
      <formula>IF(BP$3=$AV26,TRUE,FALSE)</formula>
    </cfRule>
  </conditionalFormatting>
  <conditionalFormatting sqref="AI26">
    <cfRule type="expression" dxfId="51" priority="14">
      <formula>IF((LEN(AI26)+$A26)=$A26,IF($A26&gt;0,TRUE,FALSE),FALSE)</formula>
    </cfRule>
  </conditionalFormatting>
  <conditionalFormatting sqref="AB29 AD29">
    <cfRule type="containsErrors" dxfId="50" priority="13">
      <formula>ISERROR(AB29)</formula>
    </cfRule>
  </conditionalFormatting>
  <conditionalFormatting sqref="AC29 AE29">
    <cfRule type="expression" dxfId="49" priority="12">
      <formula>IF((LEN(AC29)+$A29)=$A29,IF($A29&gt;0,TRUE,FALSE),FALSE)</formula>
    </cfRule>
  </conditionalFormatting>
  <conditionalFormatting sqref="AH27:AH29">
    <cfRule type="containsErrors" dxfId="48" priority="11">
      <formula>ISERROR(AH27)</formula>
    </cfRule>
  </conditionalFormatting>
  <conditionalFormatting sqref="AJ27:AK29">
    <cfRule type="expression" dxfId="47" priority="10">
      <formula>IF((LEN(AJ27)+$A27)=$A27,IF($A27&gt;0,TRUE,FALSE),FALSE)</formula>
    </cfRule>
  </conditionalFormatting>
  <conditionalFormatting sqref="AI27:AI29">
    <cfRule type="expression" dxfId="46" priority="9">
      <formula>IF((LEN(AI27)+$A27)=$A27,IF($A27&gt;0,TRUE,FALSE),FALSE)</formula>
    </cfRule>
  </conditionalFormatting>
  <conditionalFormatting sqref="I7:I13">
    <cfRule type="expression" dxfId="45" priority="8">
      <formula>IF((LEN(I7)+$A7)=$A7,IF($A7&gt;0,TRUE,FALSE),FALSE)</formula>
    </cfRule>
  </conditionalFormatting>
  <conditionalFormatting sqref="I21">
    <cfRule type="expression" dxfId="44" priority="7">
      <formula>IF((LEN(I21)+$A21)=$A21,IF($A21&gt;0,TRUE,FALSE),FALSE)</formula>
    </cfRule>
  </conditionalFormatting>
  <conditionalFormatting sqref="I26">
    <cfRule type="expression" dxfId="43" priority="6">
      <formula>IF((LEN(I26)+$A26)=$A26,IF($A26&gt;0,TRUE,FALSE),FALSE)</formula>
    </cfRule>
  </conditionalFormatting>
  <conditionalFormatting sqref="AH12:AH13">
    <cfRule type="containsErrors" dxfId="42" priority="5">
      <formula>ISERROR(AH12)</formula>
    </cfRule>
  </conditionalFormatting>
  <conditionalFormatting sqref="AJ12:AK13">
    <cfRule type="expression" dxfId="41" priority="4">
      <formula>IF((LEN(AJ12)+$A12)=$A12,IF($A12&gt;0,TRUE,FALSE),FALSE)</formula>
    </cfRule>
  </conditionalFormatting>
  <conditionalFormatting sqref="AI12:AI13">
    <cfRule type="expression" dxfId="40" priority="3">
      <formula>IF((LEN(AI12)+$A12)=$A12,IF($A12&gt;0,TRUE,FALSE),FALSE)</formula>
    </cfRule>
  </conditionalFormatting>
  <conditionalFormatting sqref="A5:A29">
    <cfRule type="cellIs" dxfId="39" priority="969" operator="equal">
      <formula>0</formula>
    </cfRule>
    <cfRule type="duplicateValues" dxfId="38" priority="970"/>
  </conditionalFormatting>
  <conditionalFormatting sqref="A4">
    <cfRule type="cellIs" dxfId="37" priority="971" operator="equal">
      <formula>0</formula>
    </cfRule>
    <cfRule type="duplicateValues" dxfId="36" priority="972"/>
  </conditionalFormatting>
  <conditionalFormatting sqref="Z4:AA13">
    <cfRule type="expression" dxfId="35" priority="2">
      <formula>LEN(Z4)&gt;(MID(Z$3,1,FIND(" ",Z$3)-1)*1)</formula>
    </cfRule>
  </conditionalFormatting>
  <conditionalFormatting sqref="Z4:Z13">
    <cfRule type="expression" dxfId="34" priority="1">
      <formula>IF((LEN(Z4)+$A4)=$A4,IF($A4&gt;0,TRUE,FALSE),FALSE)</formula>
    </cfRule>
  </conditionalFormatting>
  <dataValidations count="15">
    <dataValidation type="list" allowBlank="1" showInputMessage="1" showErrorMessage="1" sqref="V4:V29">
      <formula1>NDP_Objective</formula1>
    </dataValidation>
    <dataValidation type="list" allowBlank="1" showInputMessage="1" showErrorMessage="1" sqref="T4:T29">
      <formula1>PDO</formula1>
    </dataValidation>
    <dataValidation type="list" allowBlank="1" showInputMessage="1" showErrorMessage="1" sqref="N4:N29">
      <formula1>deptobj</formula1>
    </dataValidation>
    <dataValidation type="list" allowBlank="1" showInputMessage="1" showErrorMessage="1" sqref="P4:P29">
      <formula1>natkpa</formula1>
    </dataValidation>
    <dataValidation type="list" allowBlank="1" showInputMessage="1" showErrorMessage="1" sqref="R4:R29">
      <formula1>munkpa</formula1>
    </dataValidation>
    <dataValidation type="list" allowBlank="1" showInputMessage="1" showErrorMessage="1" sqref="L4:L29">
      <formula1>natout</formula1>
    </dataValidation>
    <dataValidation type="list" allowBlank="1" showInputMessage="1" showErrorMessage="1" sqref="I4:I29">
      <formula1>gfs</formula1>
    </dataValidation>
    <dataValidation type="whole" allowBlank="1" showInputMessage="1" showErrorMessage="1" sqref="E4:E29">
      <formula1>1</formula1>
      <formula2>1001</formula2>
    </dataValidation>
    <dataValidation type="list" allowBlank="1" showInputMessage="1" showErrorMessage="1" sqref="D4:D29">
      <formula1>SubDir</formula1>
    </dataValidation>
    <dataValidation type="list" allowBlank="1" showInputMessage="1" showErrorMessage="1" sqref="AI4:AI29">
      <formula1>riskrate</formula1>
    </dataValidation>
    <dataValidation type="list" allowBlank="1" showInputMessage="1" showErrorMessage="1" sqref="AE4:AE29">
      <formula1>ktype</formula1>
    </dataValidation>
    <dataValidation type="list" allowBlank="1" showInputMessage="1" showErrorMessage="1" sqref="AC4:AC29">
      <formula1>concept</formula1>
    </dataValidation>
    <dataValidation type="list" allowBlank="1" showInputMessage="1" showErrorMessage="1" sqref="AY4:AY29">
      <formula1>targettype</formula1>
    </dataValidation>
    <dataValidation type="list" allowBlank="1" showInputMessage="1" showErrorMessage="1" sqref="AW4:AW29">
      <formula1>calctype</formula1>
    </dataValidation>
    <dataValidation type="list" allowBlank="1" showInputMessage="1" showErrorMessage="1" sqref="AL4:AL29">
      <formula1>driver</formula1>
    </dataValidation>
  </dataValidations>
  <pageMargins left="0.25" right="0.25" top="0.75" bottom="0.75" header="0.3" footer="0.3"/>
  <pageSetup paperSize="9" scale="30" fitToHeight="100" orientation="landscape" r:id="rId1"/>
  <headerFooter>
    <oddHeader>&amp;L&amp;"-,Bold"&amp;A&amp;C&amp;"-,Bold"Departmental Service Delivery Budget Implementation Plan for 2018/19</oddHeader>
    <oddFooter>&amp;R&amp;"-,Bold"Page|&amp;P/&amp;N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'[1]1. Lists'!#REF!</xm:f>
          </x14:formula1>
          <xm:sqref>C1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D45"/>
  <sheetViews>
    <sheetView tabSelected="1" zoomScaleNormal="100" workbookViewId="0">
      <selection activeCell="A9" sqref="A9"/>
    </sheetView>
  </sheetViews>
  <sheetFormatPr defaultColWidth="9.140625" defaultRowHeight="15" x14ac:dyDescent="0.25"/>
  <cols>
    <col min="1" max="1" width="7.28515625" style="259" customWidth="1"/>
    <col min="2" max="2" width="7.7109375" style="259" hidden="1" customWidth="1"/>
    <col min="3" max="3" width="26.5703125" style="259" customWidth="1"/>
    <col min="4" max="4" width="26.28515625" style="265" customWidth="1"/>
    <col min="5" max="5" width="9" style="259" hidden="1" customWidth="1"/>
    <col min="6" max="6" width="34.5703125" style="266" customWidth="1"/>
    <col min="7" max="9" width="18" style="267" hidden="1" customWidth="1"/>
    <col min="10" max="10" width="29.7109375" style="267" customWidth="1"/>
    <col min="11" max="11" width="24.7109375" style="267" customWidth="1"/>
    <col min="12" max="12" width="20.140625" style="268" customWidth="1"/>
    <col min="13" max="13" width="17.28515625" style="236" customWidth="1"/>
    <col min="14" max="14" width="19.28515625" style="236" customWidth="1"/>
    <col min="15" max="15" width="22.5703125" style="267" hidden="1" customWidth="1"/>
    <col min="16" max="16" width="21.5703125" style="269" hidden="1" customWidth="1"/>
    <col min="17" max="17" width="20.85546875" style="270" hidden="1" customWidth="1"/>
    <col min="18" max="18" width="3.28515625" style="259" customWidth="1"/>
    <col min="19" max="30" width="16.140625" style="267" customWidth="1"/>
    <col min="31" max="31" width="12.7109375" style="261" customWidth="1"/>
    <col min="32" max="32" width="9.85546875" style="267" bestFit="1" customWidth="1"/>
    <col min="33" max="33" width="9.140625" style="267"/>
    <col min="34" max="34" width="9.85546875" style="273" bestFit="1" customWidth="1"/>
    <col min="35" max="35" width="9.140625" style="273"/>
    <col min="36" max="36" width="9.85546875" style="273" bestFit="1" customWidth="1"/>
    <col min="37" max="37" width="9.140625" style="273"/>
    <col min="38" max="38" width="9.85546875" style="267" hidden="1" customWidth="1"/>
    <col min="39" max="39" width="0" style="267" hidden="1" customWidth="1"/>
    <col min="40" max="40" width="9.85546875" style="267" hidden="1" customWidth="1"/>
    <col min="41" max="41" width="0" style="267" hidden="1" customWidth="1"/>
    <col min="42" max="54" width="0" style="259" hidden="1" customWidth="1"/>
    <col min="55" max="55" width="9.140625" style="259" hidden="1" customWidth="1"/>
    <col min="56" max="59" width="0" style="259" hidden="1" customWidth="1"/>
    <col min="60" max="16384" width="9.140625" style="259"/>
  </cols>
  <sheetData>
    <row r="1" spans="1:56" s="244" customFormat="1" ht="28.9" customHeight="1" x14ac:dyDescent="0.25">
      <c r="A1" s="237" t="s">
        <v>179</v>
      </c>
      <c r="B1" s="426" t="str">
        <f>cap_subid</f>
        <v>Sub-Directorate [R]</v>
      </c>
      <c r="C1" s="426"/>
      <c r="D1" s="426"/>
      <c r="E1" s="427" t="str">
        <f>cap_gfsid</f>
        <v>Function [R]</v>
      </c>
      <c r="F1" s="427"/>
      <c r="G1" s="232" t="str">
        <f>cap_cpref</f>
        <v>Mun CP Ref</v>
      </c>
      <c r="H1" s="232" t="str">
        <f>cap_idp</f>
        <v>IDP Number</v>
      </c>
      <c r="I1" s="232" t="str">
        <f>cap_vote</f>
        <v>Vote Number</v>
      </c>
      <c r="J1" s="232" t="str">
        <f>cap_value</f>
        <v>Project name [R]</v>
      </c>
      <c r="K1" s="232" t="str">
        <f>cap_description</f>
        <v>Project Description</v>
      </c>
      <c r="L1" s="238" t="str">
        <f>cap_fundsrc</f>
        <v>Funding source [R]</v>
      </c>
      <c r="M1" s="232" t="str">
        <f>cap_startplan</f>
        <v>Planned Start Date [R]</v>
      </c>
      <c r="N1" s="232" t="str">
        <f>cap_endplan</f>
        <v>Planned Completion Date [R]</v>
      </c>
      <c r="O1" s="232" t="str">
        <f>cap_actualstart</f>
        <v>Actual Start Date</v>
      </c>
      <c r="P1" s="239" t="str">
        <f>cap_ward</f>
        <v>Ward [R]</v>
      </c>
      <c r="Q1" s="240" t="str">
        <f>cap_area</f>
        <v>Area [R]</v>
      </c>
      <c r="R1" s="241"/>
      <c r="S1" s="242" t="str">
        <f>tp_1</f>
        <v>July 2018</v>
      </c>
      <c r="T1" s="242" t="str">
        <f>tp_2</f>
        <v>August 2018</v>
      </c>
      <c r="U1" s="242" t="str">
        <f>tp_3</f>
        <v>September 2018</v>
      </c>
      <c r="V1" s="242" t="str">
        <f>tp_4</f>
        <v>October 2018</v>
      </c>
      <c r="W1" s="242" t="str">
        <f>tp_5</f>
        <v>November 2018</v>
      </c>
      <c r="X1" s="242" t="str">
        <f>tp_6</f>
        <v>December 2018</v>
      </c>
      <c r="Y1" s="242" t="str">
        <f>tp_7</f>
        <v>January 2019</v>
      </c>
      <c r="Z1" s="242" t="str">
        <f>tp_8</f>
        <v>February 2019</v>
      </c>
      <c r="AA1" s="242" t="str">
        <f>tp_9</f>
        <v>March 2019</v>
      </c>
      <c r="AB1" s="242" t="str">
        <f>tp_10</f>
        <v>April 2019</v>
      </c>
      <c r="AC1" s="242" t="str">
        <f>tp_11</f>
        <v>May 2019</v>
      </c>
      <c r="AD1" s="242" t="str">
        <f>tp_12</f>
        <v>June 2019</v>
      </c>
      <c r="AE1" s="243" t="s">
        <v>30</v>
      </c>
      <c r="AF1" s="425" t="str">
        <f>start_year&amp;"/"&amp;end_year</f>
        <v>2018/2019</v>
      </c>
      <c r="AG1" s="425"/>
      <c r="AH1" s="425" t="str">
        <f>start_year+1&amp;"/"&amp;end_year+1</f>
        <v>2019/2020</v>
      </c>
      <c r="AI1" s="425"/>
      <c r="AJ1" s="425" t="str">
        <f>start_year+2&amp;"/"&amp;end_year+2</f>
        <v>2020/2021</v>
      </c>
      <c r="AK1" s="425"/>
      <c r="AL1" s="425" t="str">
        <f>start_year+3&amp;"/"&amp;end_year+3</f>
        <v>2021/2022</v>
      </c>
      <c r="AM1" s="425"/>
      <c r="AN1" s="425" t="str">
        <f>start_year+4&amp;"/"&amp;end_year+4</f>
        <v>2022/2023</v>
      </c>
      <c r="AO1" s="425"/>
      <c r="AR1" s="242" t="str">
        <f>tp_1</f>
        <v>July 2018</v>
      </c>
      <c r="AS1" s="242" t="str">
        <f>tp_2</f>
        <v>August 2018</v>
      </c>
      <c r="AT1" s="242" t="str">
        <f>tp_3</f>
        <v>September 2018</v>
      </c>
      <c r="AU1" s="242" t="str">
        <f>tp_4</f>
        <v>October 2018</v>
      </c>
      <c r="AV1" s="242" t="str">
        <f>tp_5</f>
        <v>November 2018</v>
      </c>
      <c r="AW1" s="242" t="str">
        <f>tp_6</f>
        <v>December 2018</v>
      </c>
      <c r="AX1" s="242" t="str">
        <f>tp_7</f>
        <v>January 2019</v>
      </c>
      <c r="AY1" s="242" t="str">
        <f>tp_8</f>
        <v>February 2019</v>
      </c>
      <c r="AZ1" s="242" t="str">
        <f>tp_9</f>
        <v>March 2019</v>
      </c>
      <c r="BA1" s="242" t="str">
        <f>tp_10</f>
        <v>April 2019</v>
      </c>
      <c r="BB1" s="242" t="str">
        <f>tp_11</f>
        <v>May 2019</v>
      </c>
      <c r="BC1" s="242" t="str">
        <f>tp_12</f>
        <v>June 2019</v>
      </c>
      <c r="BD1" s="243" t="s">
        <v>30</v>
      </c>
    </row>
    <row r="2" spans="1:56" s="245" customFormat="1" hidden="1" x14ac:dyDescent="0.25">
      <c r="A2" s="244" t="s">
        <v>0</v>
      </c>
      <c r="B2" s="245" t="s">
        <v>179</v>
      </c>
      <c r="C2" s="245" t="s">
        <v>1</v>
      </c>
      <c r="D2" s="246" t="s">
        <v>94</v>
      </c>
      <c r="E2" s="93" t="s">
        <v>179</v>
      </c>
      <c r="F2" s="233" t="s">
        <v>94</v>
      </c>
      <c r="G2" s="234" t="s">
        <v>103</v>
      </c>
      <c r="H2" s="234" t="s">
        <v>103</v>
      </c>
      <c r="I2" s="234" t="s">
        <v>103</v>
      </c>
      <c r="J2" s="234" t="s">
        <v>106</v>
      </c>
      <c r="K2" s="234" t="s">
        <v>105</v>
      </c>
      <c r="L2" s="247" t="s">
        <v>184</v>
      </c>
      <c r="M2" s="234" t="s">
        <v>93</v>
      </c>
      <c r="N2" s="234" t="s">
        <v>93</v>
      </c>
      <c r="O2" s="234" t="s">
        <v>93</v>
      </c>
      <c r="P2" s="248" t="s">
        <v>92</v>
      </c>
      <c r="Q2" s="249" t="s">
        <v>181</v>
      </c>
      <c r="R2" s="250"/>
      <c r="S2" s="234" t="s">
        <v>83</v>
      </c>
      <c r="T2" s="234" t="s">
        <v>83</v>
      </c>
      <c r="U2" s="234" t="s">
        <v>83</v>
      </c>
      <c r="V2" s="234" t="s">
        <v>83</v>
      </c>
      <c r="W2" s="234" t="s">
        <v>83</v>
      </c>
      <c r="X2" s="234" t="s">
        <v>83</v>
      </c>
      <c r="Y2" s="234" t="s">
        <v>83</v>
      </c>
      <c r="Z2" s="234" t="s">
        <v>83</v>
      </c>
      <c r="AA2" s="234" t="s">
        <v>83</v>
      </c>
      <c r="AB2" s="234" t="s">
        <v>83</v>
      </c>
      <c r="AC2" s="234" t="s">
        <v>83</v>
      </c>
      <c r="AD2" s="234" t="s">
        <v>83</v>
      </c>
      <c r="AE2" s="251"/>
      <c r="AF2" s="252" t="s">
        <v>90</v>
      </c>
      <c r="AG2" s="252" t="s">
        <v>91</v>
      </c>
      <c r="AH2" s="271" t="s">
        <v>90</v>
      </c>
      <c r="AI2" s="271" t="s">
        <v>91</v>
      </c>
      <c r="AJ2" s="271" t="s">
        <v>90</v>
      </c>
      <c r="AK2" s="271" t="s">
        <v>91</v>
      </c>
      <c r="AL2" s="252" t="s">
        <v>90</v>
      </c>
      <c r="AM2" s="252" t="s">
        <v>91</v>
      </c>
      <c r="AN2" s="252" t="s">
        <v>90</v>
      </c>
      <c r="AO2" s="252" t="s">
        <v>91</v>
      </c>
      <c r="AR2" s="234" t="s">
        <v>334</v>
      </c>
      <c r="AS2" s="234" t="s">
        <v>334</v>
      </c>
      <c r="AT2" s="234" t="s">
        <v>334</v>
      </c>
      <c r="AU2" s="234" t="s">
        <v>334</v>
      </c>
      <c r="AV2" s="234" t="s">
        <v>334</v>
      </c>
      <c r="AW2" s="234" t="s">
        <v>334</v>
      </c>
      <c r="AX2" s="234" t="s">
        <v>334</v>
      </c>
      <c r="AY2" s="234" t="s">
        <v>334</v>
      </c>
      <c r="AZ2" s="234" t="s">
        <v>334</v>
      </c>
      <c r="BA2" s="234" t="s">
        <v>334</v>
      </c>
      <c r="BB2" s="234" t="s">
        <v>334</v>
      </c>
      <c r="BC2" s="234" t="s">
        <v>334</v>
      </c>
      <c r="BD2" s="251"/>
    </row>
    <row r="3" spans="1:56" s="253" customFormat="1" ht="45" x14ac:dyDescent="0.25">
      <c r="A3" s="253">
        <v>1</v>
      </c>
      <c r="B3" s="253">
        <f>IF(LEN(D3)&gt;0,VLOOKUP(D3,'[2]1. Lists'!E:J,6,FALSE),"")</f>
        <v>14</v>
      </c>
      <c r="C3" s="253" t="str">
        <f>IF(LEN(D3)&gt;0,VLOOKUP(D3,'[2]1. Lists'!$E$3:$F$52,2,FALSE),"")</f>
        <v>Administration &amp; Community Services</v>
      </c>
      <c r="D3" s="254" t="s">
        <v>373</v>
      </c>
      <c r="E3" s="253">
        <f>IF(LEN(F3)&gt;0,VLOOKUP(F3,'1. Lists'!$T:$U,2,FALSE),"")</f>
        <v>64</v>
      </c>
      <c r="F3" s="255" t="s">
        <v>435</v>
      </c>
      <c r="G3" s="256"/>
      <c r="H3" s="256"/>
      <c r="I3" s="256"/>
      <c r="J3" s="256" t="s">
        <v>876</v>
      </c>
      <c r="K3" s="256" t="s">
        <v>877</v>
      </c>
      <c r="L3" s="257" t="s">
        <v>873</v>
      </c>
      <c r="M3" s="235" t="s">
        <v>874</v>
      </c>
      <c r="N3" s="235" t="s">
        <v>875</v>
      </c>
      <c r="O3" s="256"/>
      <c r="P3" s="258" t="s">
        <v>68</v>
      </c>
      <c r="Q3" s="258" t="s">
        <v>461</v>
      </c>
      <c r="R3" s="259"/>
      <c r="S3" s="260">
        <v>115.41768144542255</v>
      </c>
      <c r="T3" s="260">
        <v>982.70697760382041</v>
      </c>
      <c r="U3" s="260">
        <v>302.40029332943817</v>
      </c>
      <c r="V3" s="260">
        <v>140.60704884948683</v>
      </c>
      <c r="W3" s="260">
        <v>177.98419478982527</v>
      </c>
      <c r="X3" s="260">
        <v>1763.1898384005196</v>
      </c>
      <c r="Y3" s="260">
        <v>115.41768144542255</v>
      </c>
      <c r="Z3" s="260">
        <v>890.47514003201582</v>
      </c>
      <c r="AA3" s="260">
        <v>1665.532598618609</v>
      </c>
      <c r="AB3" s="260">
        <v>115.41768144542255</v>
      </c>
      <c r="AC3" s="260">
        <v>115.41768144542255</v>
      </c>
      <c r="AD3" s="260">
        <f>115.433182594594+6</f>
        <v>121.433182594594</v>
      </c>
      <c r="AE3" s="261">
        <f>SUM(INT(AD3),INT(AC3),INT(AB3),INT(AA3),INT(Z3),INT(Y3),INT(X3),INT(W3),INT(V3),INT(U3),INT(T3),INT(S3))</f>
        <v>6500</v>
      </c>
      <c r="AF3" s="256">
        <v>6500</v>
      </c>
      <c r="AG3" s="256"/>
      <c r="AH3" s="272">
        <v>0</v>
      </c>
      <c r="AI3" s="272"/>
      <c r="AJ3" s="272">
        <v>0</v>
      </c>
      <c r="AK3" s="272"/>
      <c r="AL3" s="256"/>
      <c r="AM3" s="256"/>
      <c r="AN3" s="256"/>
      <c r="AO3" s="256"/>
      <c r="AR3" s="262">
        <f>($S3/$AE3)*100</f>
        <v>1.7756566376218852</v>
      </c>
      <c r="AS3" s="262">
        <f>(($T3/$AE3)*100)+AR3</f>
        <v>16.894225523834507</v>
      </c>
      <c r="AT3" s="262">
        <f>((U3/$AE3)*100)+AS3</f>
        <v>21.546537728902788</v>
      </c>
      <c r="AU3" s="262">
        <f>(($V3/$AE3)*100)+AT3</f>
        <v>23.709723095817971</v>
      </c>
      <c r="AV3" s="262">
        <f>(($W3/$AE3)*100)+AU3</f>
        <v>26.447941477199898</v>
      </c>
      <c r="AW3" s="262">
        <f>(($X3/$AE3)*100)+AV3</f>
        <v>53.57393899105405</v>
      </c>
      <c r="AX3" s="262">
        <f>(($Y3/$AE3)*100)+AW3</f>
        <v>55.349595628675935</v>
      </c>
      <c r="AY3" s="262">
        <f>(($Z3/$AE3)*100)+AX3</f>
        <v>69.049213167630029</v>
      </c>
      <c r="AZ3" s="262">
        <f>(($AA3/$AE3)*100)+AY3</f>
        <v>94.672791607916324</v>
      </c>
      <c r="BA3" s="262">
        <f>(($AB3/$AE3)*100)+AZ3</f>
        <v>96.448448245538202</v>
      </c>
      <c r="BB3" s="262">
        <f>(($AC3/$AE3)*100)+BA3</f>
        <v>98.224104883160081</v>
      </c>
      <c r="BC3" s="262">
        <f>(($AD3/$AE3)*100)+BB3</f>
        <v>100.09230769230768</v>
      </c>
      <c r="BD3" s="262">
        <f>SUM(AR3:BC3)</f>
        <v>657.78448467965939</v>
      </c>
    </row>
    <row r="4" spans="1:56" s="253" customFormat="1" ht="45" x14ac:dyDescent="0.25">
      <c r="A4" s="253">
        <f>A3+1</f>
        <v>2</v>
      </c>
      <c r="B4" s="253">
        <f>IF(LEN(D4)&gt;0,VLOOKUP(D4,'[2]1. Lists'!E:J,6,FALSE),"")</f>
        <v>14</v>
      </c>
      <c r="C4" s="253" t="str">
        <f>IF(LEN(D4)&gt;0,VLOOKUP(D4,'[2]1. Lists'!$E$3:$F$52,2,FALSE),"")</f>
        <v>Administration &amp; Community Services</v>
      </c>
      <c r="D4" s="254" t="s">
        <v>373</v>
      </c>
      <c r="E4" s="253">
        <f>IF(LEN(F4)&gt;0,VLOOKUP(F4,'1. Lists'!$T:$U,2,FALSE),"")</f>
        <v>64</v>
      </c>
      <c r="F4" s="255" t="s">
        <v>435</v>
      </c>
      <c r="G4" s="256"/>
      <c r="H4" s="256"/>
      <c r="I4" s="256"/>
      <c r="J4" s="256" t="s">
        <v>876</v>
      </c>
      <c r="K4" s="256" t="s">
        <v>878</v>
      </c>
      <c r="L4" s="257" t="s">
        <v>873</v>
      </c>
      <c r="M4" s="235" t="s">
        <v>874</v>
      </c>
      <c r="N4" s="235" t="s">
        <v>875</v>
      </c>
      <c r="O4" s="256"/>
      <c r="P4" s="258" t="s">
        <v>68</v>
      </c>
      <c r="Q4" s="258" t="s">
        <v>461</v>
      </c>
      <c r="R4" s="259"/>
      <c r="S4" s="260">
        <v>728.01922142497301</v>
      </c>
      <c r="T4" s="260">
        <v>6198.6132433471748</v>
      </c>
      <c r="U4" s="260">
        <v>1907.4480040779947</v>
      </c>
      <c r="V4" s="260">
        <v>886.90600043522466</v>
      </c>
      <c r="W4" s="260">
        <v>1122.6695363665901</v>
      </c>
      <c r="X4" s="260">
        <v>11121.658980680202</v>
      </c>
      <c r="Y4" s="260">
        <v>728.01922142497301</v>
      </c>
      <c r="Z4" s="260">
        <v>5616.8431909711771</v>
      </c>
      <c r="AA4" s="260">
        <v>10505.66716051738</v>
      </c>
      <c r="AB4" s="260">
        <v>728.01922142497301</v>
      </c>
      <c r="AC4" s="260">
        <v>728.01922142497301</v>
      </c>
      <c r="AD4" s="260">
        <f>728.116997904364+5</f>
        <v>733.11699790436398</v>
      </c>
      <c r="AE4" s="261">
        <f t="shared" ref="AE4:AE43" si="0">SUM(INT(AD4),INT(AC4),INT(AB4),INT(AA4),INT(Z4),INT(Y4),INT(X4),INT(W4),INT(V4),INT(U4),INT(T4),INT(S4))</f>
        <v>41000</v>
      </c>
      <c r="AF4" s="256">
        <v>41000</v>
      </c>
      <c r="AG4" s="256"/>
      <c r="AH4" s="272">
        <v>0</v>
      </c>
      <c r="AI4" s="272"/>
      <c r="AJ4" s="272">
        <v>0</v>
      </c>
      <c r="AK4" s="272"/>
      <c r="AL4" s="256"/>
      <c r="AM4" s="256"/>
      <c r="AN4" s="256"/>
      <c r="AO4" s="256"/>
      <c r="AR4" s="262">
        <f t="shared" ref="AR4:AR43" si="1">($S4/$AE4)*100</f>
        <v>1.7756566376218852</v>
      </c>
      <c r="AS4" s="262">
        <f t="shared" ref="AS4:AS43" si="2">(($T4/$AE4)*100)+AR4</f>
        <v>16.894225523834507</v>
      </c>
      <c r="AT4" s="262">
        <f t="shared" ref="AT4:AT43" si="3">((U4/$AE4)*100)+AS4</f>
        <v>21.546537728902788</v>
      </c>
      <c r="AU4" s="262">
        <f t="shared" ref="AU4:AU43" si="4">(($V4/$AE4)*100)+AT4</f>
        <v>23.709723095817971</v>
      </c>
      <c r="AV4" s="262">
        <f t="shared" ref="AV4:AV43" si="5">(($W4/$AE4)*100)+AU4</f>
        <v>26.447941477199898</v>
      </c>
      <c r="AW4" s="262">
        <f t="shared" ref="AW4:AW43" si="6">(($X4/$AE4)*100)+AV4</f>
        <v>53.57393899105405</v>
      </c>
      <c r="AX4" s="262">
        <f t="shared" ref="AX4:AX43" si="7">(($Y4/$AE4)*100)+AW4</f>
        <v>55.349595628675935</v>
      </c>
      <c r="AY4" s="262">
        <f t="shared" ref="AY4:AY43" si="8">(($Z4/$AE4)*100)+AX4</f>
        <v>69.049213167630029</v>
      </c>
      <c r="AZ4" s="262">
        <f t="shared" ref="AZ4:AZ43" si="9">(($AA4/$AE4)*100)+AY4</f>
        <v>94.672791607916324</v>
      </c>
      <c r="BA4" s="262">
        <f t="shared" ref="BA4:BA43" si="10">(($AB4/$AE4)*100)+AZ4</f>
        <v>96.448448245538202</v>
      </c>
      <c r="BB4" s="262">
        <f t="shared" ref="BB4:BB43" si="11">(($AC4/$AE4)*100)+BA4</f>
        <v>98.224104883160081</v>
      </c>
      <c r="BC4" s="262">
        <f t="shared" ref="BC4:BC43" si="12">(($AD4/$AE4)*100)+BB4</f>
        <v>100.01219512195121</v>
      </c>
      <c r="BD4" s="262">
        <f t="shared" ref="BD4:BD43" si="13">SUM(AR4:BC4)</f>
        <v>657.70437210930288</v>
      </c>
    </row>
    <row r="5" spans="1:56" s="253" customFormat="1" ht="45" x14ac:dyDescent="0.25">
      <c r="A5" s="253">
        <f t="shared" ref="A5:A43" si="14">A4+1</f>
        <v>3</v>
      </c>
      <c r="B5" s="253">
        <f>IF(LEN(D5)&gt;0,VLOOKUP(D5,'[2]1. Lists'!E:J,6,FALSE),"")</f>
        <v>14</v>
      </c>
      <c r="C5" s="253" t="str">
        <f>IF(LEN(D5)&gt;0,VLOOKUP(D5,'[2]1. Lists'!$E$3:$F$52,2,FALSE),"")</f>
        <v>Administration &amp; Community Services</v>
      </c>
      <c r="D5" s="254" t="s">
        <v>373</v>
      </c>
      <c r="E5" s="253">
        <f>IF(LEN(F5)&gt;0,VLOOKUP(F5,'1. Lists'!$T:$U,2,FALSE),"")</f>
        <v>64</v>
      </c>
      <c r="F5" s="255" t="s">
        <v>435</v>
      </c>
      <c r="G5" s="256"/>
      <c r="H5" s="256"/>
      <c r="I5" s="256"/>
      <c r="J5" s="256" t="s">
        <v>876</v>
      </c>
      <c r="K5" s="256" t="s">
        <v>879</v>
      </c>
      <c r="L5" s="257" t="s">
        <v>873</v>
      </c>
      <c r="M5" s="235" t="s">
        <v>874</v>
      </c>
      <c r="N5" s="235" t="s">
        <v>875</v>
      </c>
      <c r="O5" s="256"/>
      <c r="P5" s="258" t="s">
        <v>68</v>
      </c>
      <c r="Q5" s="258" t="s">
        <v>461</v>
      </c>
      <c r="R5" s="259"/>
      <c r="S5" s="260">
        <v>55.045355766278441</v>
      </c>
      <c r="T5" s="260">
        <v>468.6756354725913</v>
      </c>
      <c r="U5" s="260">
        <v>144.22167835711667</v>
      </c>
      <c r="V5" s="260">
        <v>67.058746374370642</v>
      </c>
      <c r="W5" s="260">
        <v>84.884769822839743</v>
      </c>
      <c r="X5" s="260">
        <v>840.90592292947861</v>
      </c>
      <c r="Y5" s="260">
        <v>55.045355766278441</v>
      </c>
      <c r="Z5" s="260">
        <v>424.68814370757678</v>
      </c>
      <c r="AA5" s="260">
        <v>794.33093164887509</v>
      </c>
      <c r="AB5" s="260">
        <v>55.045355766278441</v>
      </c>
      <c r="AC5" s="260">
        <v>55.045355766278441</v>
      </c>
      <c r="AD5" s="260">
        <f>55.0527486220373+4</f>
        <v>59.052748622037299</v>
      </c>
      <c r="AE5" s="261">
        <f t="shared" si="0"/>
        <v>3100</v>
      </c>
      <c r="AF5" s="256">
        <v>3100</v>
      </c>
      <c r="AG5" s="256"/>
      <c r="AH5" s="272">
        <v>10000</v>
      </c>
      <c r="AI5" s="272"/>
      <c r="AJ5" s="272">
        <v>10000</v>
      </c>
      <c r="AK5" s="272"/>
      <c r="AL5" s="256"/>
      <c r="AM5" s="256"/>
      <c r="AN5" s="256"/>
      <c r="AO5" s="256"/>
      <c r="AR5" s="262">
        <f t="shared" si="1"/>
        <v>1.7756566376218852</v>
      </c>
      <c r="AS5" s="262">
        <f t="shared" si="2"/>
        <v>16.894225523834507</v>
      </c>
      <c r="AT5" s="262">
        <f t="shared" si="3"/>
        <v>21.546537728902788</v>
      </c>
      <c r="AU5" s="262">
        <f t="shared" si="4"/>
        <v>23.709723095817971</v>
      </c>
      <c r="AV5" s="262">
        <f t="shared" si="5"/>
        <v>26.447941477199898</v>
      </c>
      <c r="AW5" s="262">
        <f t="shared" si="6"/>
        <v>53.57393899105405</v>
      </c>
      <c r="AX5" s="262">
        <f t="shared" si="7"/>
        <v>55.349595628675935</v>
      </c>
      <c r="AY5" s="262">
        <f t="shared" si="8"/>
        <v>69.049213167630029</v>
      </c>
      <c r="AZ5" s="262">
        <f t="shared" si="9"/>
        <v>94.672791607916324</v>
      </c>
      <c r="BA5" s="262">
        <f t="shared" si="10"/>
        <v>96.448448245538202</v>
      </c>
      <c r="BB5" s="262">
        <f t="shared" si="11"/>
        <v>98.224104883160081</v>
      </c>
      <c r="BC5" s="262">
        <f t="shared" si="12"/>
        <v>100.12903225806451</v>
      </c>
      <c r="BD5" s="262">
        <f t="shared" si="13"/>
        <v>657.82120924541618</v>
      </c>
    </row>
    <row r="6" spans="1:56" s="253" customFormat="1" ht="30" x14ac:dyDescent="0.25">
      <c r="A6" s="253">
        <f t="shared" si="14"/>
        <v>4</v>
      </c>
      <c r="B6" s="253">
        <f>IF(LEN(D6)&gt;0,VLOOKUP(D6,'[2]1. Lists'!E:J,6,FALSE),"")</f>
        <v>22</v>
      </c>
      <c r="C6" s="253" t="str">
        <f>IF(LEN(D6)&gt;0,VLOOKUP(D6,'[2]1. Lists'!$E$3:$F$52,2,FALSE),"")</f>
        <v>Technical Services</v>
      </c>
      <c r="D6" s="254" t="s">
        <v>379</v>
      </c>
      <c r="E6" s="253">
        <f>IF(LEN(F6)&gt;0,VLOOKUP(F6,'1. Lists'!$T:$U,2,FALSE),"")</f>
        <v>73</v>
      </c>
      <c r="F6" s="255" t="s">
        <v>867</v>
      </c>
      <c r="G6" s="256"/>
      <c r="H6" s="256"/>
      <c r="I6" s="256"/>
      <c r="J6" s="256" t="s">
        <v>880</v>
      </c>
      <c r="K6" s="256" t="s">
        <v>881</v>
      </c>
      <c r="L6" s="257" t="s">
        <v>873</v>
      </c>
      <c r="M6" s="235" t="s">
        <v>874</v>
      </c>
      <c r="N6" s="235" t="s">
        <v>875</v>
      </c>
      <c r="O6" s="256"/>
      <c r="P6" s="258" t="s">
        <v>68</v>
      </c>
      <c r="Q6" s="258" t="s">
        <v>461</v>
      </c>
      <c r="R6" s="259"/>
      <c r="S6" s="260">
        <v>1580.3344074834779</v>
      </c>
      <c r="T6" s="260">
        <v>13455.526308729233</v>
      </c>
      <c r="U6" s="260">
        <v>4140.5578625107692</v>
      </c>
      <c r="V6" s="260">
        <v>1925.2349765545121</v>
      </c>
      <c r="W6" s="260">
        <v>2437.0143594299152</v>
      </c>
      <c r="X6" s="260">
        <v>24142.137787330194</v>
      </c>
      <c r="Y6" s="260">
        <v>1580.3344074834779</v>
      </c>
      <c r="Z6" s="260">
        <v>12192.659609669139</v>
      </c>
      <c r="AA6" s="260">
        <v>22804.9848118548</v>
      </c>
      <c r="AB6" s="260">
        <v>1580.3344074834779</v>
      </c>
      <c r="AC6" s="260">
        <v>1580.3344074834779</v>
      </c>
      <c r="AD6" s="260">
        <f>1580.54665398752+5</f>
        <v>1585.5466539875199</v>
      </c>
      <c r="AE6" s="261">
        <f t="shared" si="0"/>
        <v>89000</v>
      </c>
      <c r="AF6" s="256">
        <v>89000</v>
      </c>
      <c r="AG6" s="256"/>
      <c r="AH6" s="272">
        <v>50000</v>
      </c>
      <c r="AI6" s="272"/>
      <c r="AJ6" s="272">
        <v>0</v>
      </c>
      <c r="AK6" s="272"/>
      <c r="AL6" s="256"/>
      <c r="AM6" s="256"/>
      <c r="AN6" s="256"/>
      <c r="AO6" s="256"/>
      <c r="AR6" s="262">
        <f t="shared" si="1"/>
        <v>1.7756566376218852</v>
      </c>
      <c r="AS6" s="262">
        <f t="shared" si="2"/>
        <v>16.894225523834507</v>
      </c>
      <c r="AT6" s="262">
        <f t="shared" si="3"/>
        <v>21.546537728902788</v>
      </c>
      <c r="AU6" s="262">
        <f t="shared" si="4"/>
        <v>23.709723095817971</v>
      </c>
      <c r="AV6" s="262">
        <f t="shared" si="5"/>
        <v>26.447941477199898</v>
      </c>
      <c r="AW6" s="262">
        <f t="shared" si="6"/>
        <v>53.57393899105405</v>
      </c>
      <c r="AX6" s="262">
        <f t="shared" si="7"/>
        <v>55.349595628675935</v>
      </c>
      <c r="AY6" s="262">
        <f t="shared" si="8"/>
        <v>69.049213167630029</v>
      </c>
      <c r="AZ6" s="262">
        <f t="shared" si="9"/>
        <v>94.672791607916324</v>
      </c>
      <c r="BA6" s="262">
        <f t="shared" si="10"/>
        <v>96.448448245538202</v>
      </c>
      <c r="BB6" s="262">
        <f t="shared" si="11"/>
        <v>98.224104883160081</v>
      </c>
      <c r="BC6" s="262">
        <f t="shared" si="12"/>
        <v>100.00561797752808</v>
      </c>
      <c r="BD6" s="262">
        <f t="shared" si="13"/>
        <v>657.69779496487979</v>
      </c>
    </row>
    <row r="7" spans="1:56" s="253" customFormat="1" ht="30" x14ac:dyDescent="0.25">
      <c r="A7" s="253">
        <f t="shared" si="14"/>
        <v>5</v>
      </c>
      <c r="B7" s="253">
        <f>IF(LEN(D7)&gt;0,VLOOKUP(D7,'[2]1. Lists'!E:J,6,FALSE),"")</f>
        <v>22</v>
      </c>
      <c r="C7" s="253" t="str">
        <f>IF(LEN(D7)&gt;0,VLOOKUP(D7,'[2]1. Lists'!$E$3:$F$52,2,FALSE),"")</f>
        <v>Technical Services</v>
      </c>
      <c r="D7" s="254" t="s">
        <v>379</v>
      </c>
      <c r="E7" s="253">
        <f>IF(LEN(F7)&gt;0,VLOOKUP(F7,'1. Lists'!$T:$U,2,FALSE),"")</f>
        <v>73</v>
      </c>
      <c r="F7" s="255" t="s">
        <v>867</v>
      </c>
      <c r="G7" s="256"/>
      <c r="H7" s="256"/>
      <c r="I7" s="256"/>
      <c r="J7" s="256" t="s">
        <v>880</v>
      </c>
      <c r="K7" s="256" t="s">
        <v>882</v>
      </c>
      <c r="L7" s="257" t="s">
        <v>873</v>
      </c>
      <c r="M7" s="235" t="s">
        <v>874</v>
      </c>
      <c r="N7" s="235" t="s">
        <v>875</v>
      </c>
      <c r="O7" s="256"/>
      <c r="P7" s="258" t="s">
        <v>68</v>
      </c>
      <c r="Q7" s="258" t="s">
        <v>461</v>
      </c>
      <c r="R7" s="259"/>
      <c r="S7" s="260">
        <v>4510.1678595595886</v>
      </c>
      <c r="T7" s="260">
        <v>38401.164970980062</v>
      </c>
      <c r="U7" s="260">
        <v>11816.873000873431</v>
      </c>
      <c r="V7" s="260">
        <v>5494.4908319645619</v>
      </c>
      <c r="W7" s="260">
        <v>6955.0746887100959</v>
      </c>
      <c r="X7" s="260">
        <v>68900.033685189541</v>
      </c>
      <c r="Y7" s="260">
        <v>4510.1678595595886</v>
      </c>
      <c r="Z7" s="260">
        <v>34797.028548943388</v>
      </c>
      <c r="AA7" s="260">
        <v>65083.889238327181</v>
      </c>
      <c r="AB7" s="260">
        <v>4510.1678595595886</v>
      </c>
      <c r="AC7" s="260">
        <v>4510.1678595595886</v>
      </c>
      <c r="AD7" s="260">
        <f>4510.77359677338+4</f>
        <v>4514.7735967733797</v>
      </c>
      <c r="AE7" s="261">
        <f t="shared" si="0"/>
        <v>254000</v>
      </c>
      <c r="AF7" s="256">
        <v>254000</v>
      </c>
      <c r="AG7" s="256"/>
      <c r="AH7" s="272">
        <v>0</v>
      </c>
      <c r="AI7" s="272"/>
      <c r="AJ7" s="272">
        <v>0</v>
      </c>
      <c r="AK7" s="272"/>
      <c r="AL7" s="256"/>
      <c r="AM7" s="256"/>
      <c r="AN7" s="256"/>
      <c r="AO7" s="256"/>
      <c r="AR7" s="262">
        <f t="shared" si="1"/>
        <v>1.7756566376218852</v>
      </c>
      <c r="AS7" s="262">
        <f t="shared" si="2"/>
        <v>16.894225523834507</v>
      </c>
      <c r="AT7" s="262">
        <f t="shared" si="3"/>
        <v>21.546537728902788</v>
      </c>
      <c r="AU7" s="262">
        <f t="shared" si="4"/>
        <v>23.709723095817971</v>
      </c>
      <c r="AV7" s="262">
        <f t="shared" si="5"/>
        <v>26.447941477199898</v>
      </c>
      <c r="AW7" s="262">
        <f t="shared" si="6"/>
        <v>53.57393899105405</v>
      </c>
      <c r="AX7" s="262">
        <f t="shared" si="7"/>
        <v>55.349595628675935</v>
      </c>
      <c r="AY7" s="262">
        <f t="shared" si="8"/>
        <v>69.049213167630029</v>
      </c>
      <c r="AZ7" s="262">
        <f t="shared" si="9"/>
        <v>94.672791607916324</v>
      </c>
      <c r="BA7" s="262">
        <f t="shared" si="10"/>
        <v>96.448448245538202</v>
      </c>
      <c r="BB7" s="262">
        <f t="shared" si="11"/>
        <v>98.224104883160081</v>
      </c>
      <c r="BC7" s="262">
        <f t="shared" si="12"/>
        <v>100.00157480314959</v>
      </c>
      <c r="BD7" s="262">
        <f t="shared" si="13"/>
        <v>657.69375179050121</v>
      </c>
    </row>
    <row r="8" spans="1:56" s="253" customFormat="1" ht="45" x14ac:dyDescent="0.25">
      <c r="A8" s="253">
        <f t="shared" si="14"/>
        <v>6</v>
      </c>
      <c r="B8" s="253">
        <f>IF(LEN(D8)&gt;0,VLOOKUP(D8,'[2]1. Lists'!E:J,6,FALSE),"")</f>
        <v>14</v>
      </c>
      <c r="C8" s="253" t="str">
        <f>IF(LEN(D8)&gt;0,VLOOKUP(D8,'[2]1. Lists'!$E$3:$F$52,2,FALSE),"")</f>
        <v>Administration &amp; Community Services</v>
      </c>
      <c r="D8" s="254" t="s">
        <v>373</v>
      </c>
      <c r="E8" s="253">
        <f>IF(LEN(F8)&gt;0,VLOOKUP(F8,'1. Lists'!$T:$U,2,FALSE),"")</f>
        <v>64</v>
      </c>
      <c r="F8" s="255" t="s">
        <v>435</v>
      </c>
      <c r="G8" s="256"/>
      <c r="H8" s="256"/>
      <c r="I8" s="256"/>
      <c r="J8" s="256" t="s">
        <v>883</v>
      </c>
      <c r="K8" s="256" t="s">
        <v>884</v>
      </c>
      <c r="L8" s="257" t="s">
        <v>873</v>
      </c>
      <c r="M8" s="235" t="s">
        <v>874</v>
      </c>
      <c r="N8" s="235" t="s">
        <v>875</v>
      </c>
      <c r="O8" s="256"/>
      <c r="P8" s="258" t="s">
        <v>68</v>
      </c>
      <c r="Q8" s="258" t="s">
        <v>461</v>
      </c>
      <c r="R8" s="259"/>
      <c r="S8" s="260">
        <v>284.10506201950164</v>
      </c>
      <c r="T8" s="260">
        <v>2418.9710217940196</v>
      </c>
      <c r="U8" s="260">
        <v>744.36995281092481</v>
      </c>
      <c r="V8" s="260">
        <v>346.10965870642912</v>
      </c>
      <c r="W8" s="260">
        <v>438.11494102110839</v>
      </c>
      <c r="X8" s="260">
        <v>4340.1596022166641</v>
      </c>
      <c r="Y8" s="260">
        <v>284.10506201950164</v>
      </c>
      <c r="Z8" s="260">
        <v>2191.9388062326543</v>
      </c>
      <c r="AA8" s="260">
        <v>4099.7725504458067</v>
      </c>
      <c r="AB8" s="260">
        <v>284.10506201950164</v>
      </c>
      <c r="AC8" s="260">
        <v>284.10506201950164</v>
      </c>
      <c r="AD8" s="260">
        <f>284.143218694386+4</f>
        <v>288.14321869438601</v>
      </c>
      <c r="AE8" s="261">
        <f t="shared" si="0"/>
        <v>16000</v>
      </c>
      <c r="AF8" s="256">
        <v>16000</v>
      </c>
      <c r="AG8" s="256"/>
      <c r="AH8" s="272">
        <v>0</v>
      </c>
      <c r="AI8" s="272"/>
      <c r="AJ8" s="272">
        <v>0</v>
      </c>
      <c r="AK8" s="272"/>
      <c r="AL8" s="256"/>
      <c r="AM8" s="256"/>
      <c r="AN8" s="256"/>
      <c r="AO8" s="256"/>
      <c r="AR8" s="262">
        <f t="shared" si="1"/>
        <v>1.7756566376218852</v>
      </c>
      <c r="AS8" s="262">
        <f t="shared" si="2"/>
        <v>16.894225523834507</v>
      </c>
      <c r="AT8" s="262">
        <f t="shared" si="3"/>
        <v>21.546537728902788</v>
      </c>
      <c r="AU8" s="262">
        <f t="shared" si="4"/>
        <v>23.709723095817971</v>
      </c>
      <c r="AV8" s="262">
        <f t="shared" si="5"/>
        <v>26.447941477199898</v>
      </c>
      <c r="AW8" s="262">
        <f t="shared" si="6"/>
        <v>53.57393899105405</v>
      </c>
      <c r="AX8" s="262">
        <f t="shared" si="7"/>
        <v>55.349595628675935</v>
      </c>
      <c r="AY8" s="262">
        <f t="shared" si="8"/>
        <v>69.049213167630029</v>
      </c>
      <c r="AZ8" s="262">
        <f t="shared" si="9"/>
        <v>94.672791607916324</v>
      </c>
      <c r="BA8" s="262">
        <f t="shared" si="10"/>
        <v>96.448448245538202</v>
      </c>
      <c r="BB8" s="262">
        <f t="shared" si="11"/>
        <v>98.224104883160081</v>
      </c>
      <c r="BC8" s="262">
        <f t="shared" si="12"/>
        <v>100.02499999999999</v>
      </c>
      <c r="BD8" s="262">
        <f t="shared" si="13"/>
        <v>657.71717698735165</v>
      </c>
    </row>
    <row r="9" spans="1:56" s="253" customFormat="1" ht="30" x14ac:dyDescent="0.25">
      <c r="A9" s="253">
        <f t="shared" si="14"/>
        <v>7</v>
      </c>
      <c r="B9" s="253">
        <f>IF(LEN(D9)&gt;0,VLOOKUP(D9,'[2]1. Lists'!E:J,6,FALSE),"")</f>
        <v>4</v>
      </c>
      <c r="C9" s="253" t="str">
        <f>IF(LEN(D9)&gt;0,VLOOKUP(D9,'[2]1. Lists'!$E$3:$F$52,2,FALSE),"")</f>
        <v>Office of the Municipal Manager</v>
      </c>
      <c r="D9" s="254" t="s">
        <v>291</v>
      </c>
      <c r="E9" s="253">
        <f>IF(LEN(F9)&gt;0,VLOOKUP(F9,'1. Lists'!$T:$U,2,FALSE),"")</f>
        <v>101</v>
      </c>
      <c r="F9" s="264" t="s">
        <v>443</v>
      </c>
      <c r="G9" s="256"/>
      <c r="H9" s="256"/>
      <c r="I9" s="256"/>
      <c r="J9" s="256" t="s">
        <v>880</v>
      </c>
      <c r="K9" s="256" t="s">
        <v>881</v>
      </c>
      <c r="L9" s="257" t="s">
        <v>873</v>
      </c>
      <c r="M9" s="235" t="s">
        <v>874</v>
      </c>
      <c r="N9" s="235" t="s">
        <v>875</v>
      </c>
      <c r="O9" s="256"/>
      <c r="P9" s="258" t="s">
        <v>68</v>
      </c>
      <c r="Q9" s="258" t="s">
        <v>461</v>
      </c>
      <c r="R9" s="259"/>
      <c r="S9" s="260">
        <v>355.13132752437707</v>
      </c>
      <c r="T9" s="260">
        <v>3023.7137772425244</v>
      </c>
      <c r="U9" s="260">
        <v>930.46244101365596</v>
      </c>
      <c r="V9" s="260">
        <v>432.63707338303641</v>
      </c>
      <c r="W9" s="260">
        <v>547.64367627638546</v>
      </c>
      <c r="X9" s="260">
        <v>5425.1995027708299</v>
      </c>
      <c r="Y9" s="260">
        <v>355.13132752437707</v>
      </c>
      <c r="Z9" s="260">
        <v>2739.9235077908179</v>
      </c>
      <c r="AA9" s="260">
        <v>5124.7156880572584</v>
      </c>
      <c r="AB9" s="260">
        <v>355.13132752437707</v>
      </c>
      <c r="AC9" s="260">
        <v>355.13132752437707</v>
      </c>
      <c r="AD9" s="260">
        <f>355.179023367982+5</f>
        <v>360.17902336798198</v>
      </c>
      <c r="AE9" s="261">
        <f t="shared" si="0"/>
        <v>20000</v>
      </c>
      <c r="AF9" s="256">
        <v>20000</v>
      </c>
      <c r="AG9" s="256"/>
      <c r="AH9" s="272">
        <v>0</v>
      </c>
      <c r="AI9" s="272"/>
      <c r="AJ9" s="272">
        <v>0</v>
      </c>
      <c r="AK9" s="272"/>
      <c r="AL9" s="256"/>
      <c r="AM9" s="256"/>
      <c r="AN9" s="256"/>
      <c r="AO9" s="256"/>
      <c r="AR9" s="262">
        <f t="shared" si="1"/>
        <v>1.7756566376218852</v>
      </c>
      <c r="AS9" s="262">
        <f t="shared" si="2"/>
        <v>16.894225523834507</v>
      </c>
      <c r="AT9" s="262">
        <f t="shared" si="3"/>
        <v>21.546537728902788</v>
      </c>
      <c r="AU9" s="262">
        <f t="shared" si="4"/>
        <v>23.709723095817971</v>
      </c>
      <c r="AV9" s="262">
        <f t="shared" si="5"/>
        <v>26.447941477199898</v>
      </c>
      <c r="AW9" s="262">
        <f t="shared" si="6"/>
        <v>53.57393899105405</v>
      </c>
      <c r="AX9" s="262">
        <f t="shared" si="7"/>
        <v>55.349595628675935</v>
      </c>
      <c r="AY9" s="262">
        <f t="shared" si="8"/>
        <v>69.049213167630029</v>
      </c>
      <c r="AZ9" s="262">
        <f t="shared" si="9"/>
        <v>94.672791607916324</v>
      </c>
      <c r="BA9" s="262">
        <f t="shared" si="10"/>
        <v>96.448448245538202</v>
      </c>
      <c r="BB9" s="262">
        <f t="shared" si="11"/>
        <v>98.224104883160081</v>
      </c>
      <c r="BC9" s="262">
        <f t="shared" si="12"/>
        <v>100.02499999999999</v>
      </c>
      <c r="BD9" s="262">
        <f t="shared" si="13"/>
        <v>657.71717698735165</v>
      </c>
    </row>
    <row r="10" spans="1:56" s="253" customFormat="1" ht="30" x14ac:dyDescent="0.25">
      <c r="A10" s="253">
        <f t="shared" si="14"/>
        <v>8</v>
      </c>
      <c r="B10" s="253">
        <f>IF(LEN(D10)&gt;0,VLOOKUP(D10,'[2]1. Lists'!E:J,6,FALSE),"")</f>
        <v>9</v>
      </c>
      <c r="C10" s="253" t="str">
        <f>IF(LEN(D10)&gt;0,VLOOKUP(D10,'[2]1. Lists'!$E$3:$F$52,2,FALSE),"")</f>
        <v>Administration &amp; Community Services</v>
      </c>
      <c r="D10" s="254" t="s">
        <v>368</v>
      </c>
      <c r="E10" s="253">
        <f>IF(LEN(F10)&gt;0,VLOOKUP(F10,'1. Lists'!$T:$U,2,FALSE),"")</f>
        <v>87</v>
      </c>
      <c r="F10" s="255" t="s">
        <v>434</v>
      </c>
      <c r="G10" s="256"/>
      <c r="H10" s="256"/>
      <c r="I10" s="256"/>
      <c r="J10" s="256" t="s">
        <v>880</v>
      </c>
      <c r="K10" s="256" t="s">
        <v>885</v>
      </c>
      <c r="L10" s="257" t="s">
        <v>873</v>
      </c>
      <c r="M10" s="235" t="s">
        <v>874</v>
      </c>
      <c r="N10" s="235" t="s">
        <v>875</v>
      </c>
      <c r="O10" s="256"/>
      <c r="P10" s="258" t="s">
        <v>68</v>
      </c>
      <c r="Q10" s="258" t="s">
        <v>461</v>
      </c>
      <c r="R10" s="259"/>
      <c r="S10" s="260">
        <v>35.513132752437706</v>
      </c>
      <c r="T10" s="260">
        <v>302.37137772425245</v>
      </c>
      <c r="U10" s="260">
        <v>93.046244101365602</v>
      </c>
      <c r="V10" s="260">
        <v>43.263707338303639</v>
      </c>
      <c r="W10" s="260">
        <v>54.764367627638549</v>
      </c>
      <c r="X10" s="260">
        <v>542.51995027708301</v>
      </c>
      <c r="Y10" s="260">
        <v>35.513132752437706</v>
      </c>
      <c r="Z10" s="260">
        <v>273.99235077908179</v>
      </c>
      <c r="AA10" s="260">
        <v>512.47156880572584</v>
      </c>
      <c r="AB10" s="260">
        <v>35.513132752437706</v>
      </c>
      <c r="AC10" s="260">
        <v>35.513132752437706</v>
      </c>
      <c r="AD10" s="260">
        <f>35.5179023367982+6</f>
        <v>41.517902336798201</v>
      </c>
      <c r="AE10" s="261">
        <f t="shared" si="0"/>
        <v>2000</v>
      </c>
      <c r="AF10" s="256">
        <v>2000</v>
      </c>
      <c r="AG10" s="256"/>
      <c r="AH10" s="272">
        <v>0</v>
      </c>
      <c r="AI10" s="272"/>
      <c r="AJ10" s="272">
        <v>0</v>
      </c>
      <c r="AK10" s="272"/>
      <c r="AL10" s="256"/>
      <c r="AM10" s="256"/>
      <c r="AN10" s="256"/>
      <c r="AO10" s="256"/>
      <c r="AR10" s="262">
        <f t="shared" si="1"/>
        <v>1.7756566376218852</v>
      </c>
      <c r="AS10" s="262">
        <f t="shared" si="2"/>
        <v>16.894225523834507</v>
      </c>
      <c r="AT10" s="262">
        <f t="shared" si="3"/>
        <v>21.546537728902788</v>
      </c>
      <c r="AU10" s="262">
        <f t="shared" si="4"/>
        <v>23.709723095817971</v>
      </c>
      <c r="AV10" s="262">
        <f t="shared" si="5"/>
        <v>26.447941477199898</v>
      </c>
      <c r="AW10" s="262">
        <f t="shared" si="6"/>
        <v>53.57393899105405</v>
      </c>
      <c r="AX10" s="262">
        <f t="shared" si="7"/>
        <v>55.349595628675935</v>
      </c>
      <c r="AY10" s="262">
        <f t="shared" si="8"/>
        <v>69.049213167630029</v>
      </c>
      <c r="AZ10" s="262">
        <f t="shared" si="9"/>
        <v>94.672791607916324</v>
      </c>
      <c r="BA10" s="262">
        <f t="shared" si="10"/>
        <v>96.448448245538202</v>
      </c>
      <c r="BB10" s="262">
        <f t="shared" si="11"/>
        <v>98.224104883160081</v>
      </c>
      <c r="BC10" s="262">
        <f t="shared" si="12"/>
        <v>100.3</v>
      </c>
      <c r="BD10" s="262">
        <f t="shared" si="13"/>
        <v>657.99217698735163</v>
      </c>
    </row>
    <row r="11" spans="1:56" s="253" customFormat="1" ht="30" x14ac:dyDescent="0.25">
      <c r="A11" s="253">
        <f t="shared" si="14"/>
        <v>9</v>
      </c>
      <c r="B11" s="253">
        <f>IF(LEN(D11)&gt;0,VLOOKUP(D11,'[2]1. Lists'!E:J,6,FALSE),"")</f>
        <v>9</v>
      </c>
      <c r="C11" s="253" t="str">
        <f>IF(LEN(D11)&gt;0,VLOOKUP(D11,'[2]1. Lists'!$E$3:$F$52,2,FALSE),"")</f>
        <v>Administration &amp; Community Services</v>
      </c>
      <c r="D11" s="254" t="s">
        <v>368</v>
      </c>
      <c r="E11" s="253">
        <f>IF(LEN(F11)&gt;0,VLOOKUP(F11,'1. Lists'!$T:$U,2,FALSE),"")</f>
        <v>87</v>
      </c>
      <c r="F11" s="255" t="s">
        <v>434</v>
      </c>
      <c r="G11" s="256"/>
      <c r="H11" s="256"/>
      <c r="I11" s="256"/>
      <c r="J11" s="256" t="s">
        <v>876</v>
      </c>
      <c r="K11" s="256" t="s">
        <v>886</v>
      </c>
      <c r="L11" s="257" t="s">
        <v>873</v>
      </c>
      <c r="M11" s="235" t="s">
        <v>874</v>
      </c>
      <c r="N11" s="235" t="s">
        <v>875</v>
      </c>
      <c r="O11" s="256"/>
      <c r="P11" s="258" t="s">
        <v>68</v>
      </c>
      <c r="Q11" s="258" t="s">
        <v>461</v>
      </c>
      <c r="R11" s="259"/>
      <c r="S11" s="260">
        <v>23.793798944133261</v>
      </c>
      <c r="T11" s="260">
        <v>202.58882307524914</v>
      </c>
      <c r="U11" s="260">
        <v>62.340983547914952</v>
      </c>
      <c r="V11" s="260">
        <v>28.986683916663438</v>
      </c>
      <c r="W11" s="260">
        <v>36.692126310517828</v>
      </c>
      <c r="X11" s="260">
        <v>363.48836668564559</v>
      </c>
      <c r="Y11" s="260">
        <v>23.793798944133261</v>
      </c>
      <c r="Z11" s="260">
        <v>183.57487502198481</v>
      </c>
      <c r="AA11" s="260">
        <v>343.35595109983632</v>
      </c>
      <c r="AB11" s="260">
        <v>23.793798944133261</v>
      </c>
      <c r="AC11" s="260">
        <v>23.793798944133261</v>
      </c>
      <c r="AD11" s="260">
        <f>23.7969945656548+8</f>
        <v>31.796994565654799</v>
      </c>
      <c r="AE11" s="261">
        <f t="shared" si="0"/>
        <v>1340</v>
      </c>
      <c r="AF11" s="256">
        <v>1340</v>
      </c>
      <c r="AG11" s="256"/>
      <c r="AH11" s="272">
        <v>0</v>
      </c>
      <c r="AI11" s="272"/>
      <c r="AJ11" s="272">
        <v>0</v>
      </c>
      <c r="AK11" s="272"/>
      <c r="AL11" s="256"/>
      <c r="AM11" s="256"/>
      <c r="AN11" s="256"/>
      <c r="AO11" s="256"/>
      <c r="AR11" s="262">
        <f t="shared" si="1"/>
        <v>1.7756566376218852</v>
      </c>
      <c r="AS11" s="262">
        <f t="shared" si="2"/>
        <v>16.894225523834507</v>
      </c>
      <c r="AT11" s="262">
        <f t="shared" si="3"/>
        <v>21.546537728902788</v>
      </c>
      <c r="AU11" s="262">
        <f t="shared" si="4"/>
        <v>23.709723095817971</v>
      </c>
      <c r="AV11" s="262">
        <f t="shared" si="5"/>
        <v>26.447941477199898</v>
      </c>
      <c r="AW11" s="262">
        <f t="shared" si="6"/>
        <v>53.57393899105405</v>
      </c>
      <c r="AX11" s="262">
        <f t="shared" si="7"/>
        <v>55.349595628675935</v>
      </c>
      <c r="AY11" s="262">
        <f t="shared" si="8"/>
        <v>69.049213167630029</v>
      </c>
      <c r="AZ11" s="262">
        <f t="shared" si="9"/>
        <v>94.672791607916324</v>
      </c>
      <c r="BA11" s="262">
        <f t="shared" si="10"/>
        <v>96.448448245538202</v>
      </c>
      <c r="BB11" s="262">
        <f t="shared" si="11"/>
        <v>98.224104883160081</v>
      </c>
      <c r="BC11" s="262">
        <f t="shared" si="12"/>
        <v>100.59701492537313</v>
      </c>
      <c r="BD11" s="262">
        <f t="shared" si="13"/>
        <v>658.28919191272485</v>
      </c>
    </row>
    <row r="12" spans="1:56" s="253" customFormat="1" ht="30" x14ac:dyDescent="0.25">
      <c r="A12" s="253">
        <f t="shared" si="14"/>
        <v>10</v>
      </c>
      <c r="B12" s="253">
        <f>IF(LEN(D12)&gt;0,VLOOKUP(D12,'[2]1. Lists'!E:J,6,FALSE),"")</f>
        <v>9</v>
      </c>
      <c r="C12" s="253" t="str">
        <f>IF(LEN(D12)&gt;0,VLOOKUP(D12,'[2]1. Lists'!$E$3:$F$52,2,FALSE),"")</f>
        <v>Administration &amp; Community Services</v>
      </c>
      <c r="D12" s="254" t="s">
        <v>368</v>
      </c>
      <c r="E12" s="253">
        <f>IF(LEN(F12)&gt;0,VLOOKUP(F12,'1. Lists'!$T:$U,2,FALSE),"")</f>
        <v>87</v>
      </c>
      <c r="F12" s="255" t="s">
        <v>434</v>
      </c>
      <c r="G12" s="256"/>
      <c r="H12" s="256"/>
      <c r="I12" s="256"/>
      <c r="J12" s="256" t="s">
        <v>876</v>
      </c>
      <c r="K12" s="256" t="s">
        <v>887</v>
      </c>
      <c r="L12" s="257" t="s">
        <v>873</v>
      </c>
      <c r="M12" s="235" t="s">
        <v>874</v>
      </c>
      <c r="N12" s="235" t="s">
        <v>875</v>
      </c>
      <c r="O12" s="256"/>
      <c r="P12" s="258" t="s">
        <v>68</v>
      </c>
      <c r="Q12" s="258" t="s">
        <v>461</v>
      </c>
      <c r="R12" s="259"/>
      <c r="S12" s="260">
        <v>297.4224868016658</v>
      </c>
      <c r="T12" s="260">
        <v>2532.3602884406141</v>
      </c>
      <c r="U12" s="260">
        <v>779.26229434893685</v>
      </c>
      <c r="V12" s="260">
        <v>362.33354895829297</v>
      </c>
      <c r="W12" s="260">
        <v>458.6515788814728</v>
      </c>
      <c r="X12" s="260">
        <v>4543.60458357057</v>
      </c>
      <c r="Y12" s="260">
        <v>297.4224868016658</v>
      </c>
      <c r="Z12" s="260">
        <v>2294.6859377748101</v>
      </c>
      <c r="AA12" s="260">
        <v>4291.9493887479539</v>
      </c>
      <c r="AB12" s="260">
        <v>297.4224868016658</v>
      </c>
      <c r="AC12" s="260">
        <v>297.4224868016658</v>
      </c>
      <c r="AD12" s="260">
        <f>297.462432070685+6</f>
        <v>303.462432070685</v>
      </c>
      <c r="AE12" s="261">
        <f t="shared" si="0"/>
        <v>16750</v>
      </c>
      <c r="AF12" s="256">
        <v>16750</v>
      </c>
      <c r="AG12" s="256"/>
      <c r="AH12" s="272">
        <v>0</v>
      </c>
      <c r="AI12" s="272"/>
      <c r="AJ12" s="272">
        <v>0</v>
      </c>
      <c r="AK12" s="272"/>
      <c r="AL12" s="256"/>
      <c r="AM12" s="256"/>
      <c r="AN12" s="256"/>
      <c r="AO12" s="256"/>
      <c r="AR12" s="262">
        <f t="shared" si="1"/>
        <v>1.7756566376218852</v>
      </c>
      <c r="AS12" s="262">
        <f t="shared" si="2"/>
        <v>16.894225523834507</v>
      </c>
      <c r="AT12" s="262">
        <f t="shared" si="3"/>
        <v>21.546537728902788</v>
      </c>
      <c r="AU12" s="262">
        <f t="shared" si="4"/>
        <v>23.709723095817971</v>
      </c>
      <c r="AV12" s="262">
        <f t="shared" si="5"/>
        <v>26.447941477199898</v>
      </c>
      <c r="AW12" s="262">
        <f t="shared" si="6"/>
        <v>53.57393899105405</v>
      </c>
      <c r="AX12" s="262">
        <f t="shared" si="7"/>
        <v>55.349595628675935</v>
      </c>
      <c r="AY12" s="262">
        <f t="shared" si="8"/>
        <v>69.049213167630029</v>
      </c>
      <c r="AZ12" s="262">
        <f t="shared" si="9"/>
        <v>94.672791607916324</v>
      </c>
      <c r="BA12" s="262">
        <f t="shared" si="10"/>
        <v>96.448448245538202</v>
      </c>
      <c r="BB12" s="262">
        <f t="shared" si="11"/>
        <v>98.224104883160081</v>
      </c>
      <c r="BC12" s="262">
        <f t="shared" si="12"/>
        <v>100.03582089552238</v>
      </c>
      <c r="BD12" s="262">
        <f t="shared" si="13"/>
        <v>657.72799788287409</v>
      </c>
    </row>
    <row r="13" spans="1:56" s="253" customFormat="1" ht="30" x14ac:dyDescent="0.25">
      <c r="A13" s="253">
        <f t="shared" si="14"/>
        <v>11</v>
      </c>
      <c r="B13" s="253">
        <f>IF(LEN(D13)&gt;0,VLOOKUP(D13,'[2]1. Lists'!E:J,6,FALSE),"")</f>
        <v>9</v>
      </c>
      <c r="C13" s="253" t="str">
        <f>IF(LEN(D13)&gt;0,VLOOKUP(D13,'[2]1. Lists'!$E$3:$F$52,2,FALSE),"")</f>
        <v>Administration &amp; Community Services</v>
      </c>
      <c r="D13" s="254" t="s">
        <v>368</v>
      </c>
      <c r="E13" s="253">
        <f>IF(LEN(F13)&gt;0,VLOOKUP(F13,'1. Lists'!$T:$U,2,FALSE),"")</f>
        <v>87</v>
      </c>
      <c r="F13" s="255" t="s">
        <v>434</v>
      </c>
      <c r="G13" s="256"/>
      <c r="H13" s="256"/>
      <c r="I13" s="256"/>
      <c r="J13" s="256" t="s">
        <v>876</v>
      </c>
      <c r="K13" s="256" t="s">
        <v>888</v>
      </c>
      <c r="L13" s="257" t="s">
        <v>873</v>
      </c>
      <c r="M13" s="235" t="s">
        <v>874</v>
      </c>
      <c r="N13" s="235" t="s">
        <v>875</v>
      </c>
      <c r="O13" s="256"/>
      <c r="P13" s="258" t="s">
        <v>68</v>
      </c>
      <c r="Q13" s="258" t="s">
        <v>461</v>
      </c>
      <c r="R13" s="259"/>
      <c r="S13" s="260">
        <v>39.064446027681477</v>
      </c>
      <c r="T13" s="260">
        <v>332.60851549667768</v>
      </c>
      <c r="U13" s="260">
        <v>102.35086851150216</v>
      </c>
      <c r="V13" s="260">
        <v>47.590078072134006</v>
      </c>
      <c r="W13" s="260">
        <v>60.240804390402403</v>
      </c>
      <c r="X13" s="260">
        <v>596.7719453047913</v>
      </c>
      <c r="Y13" s="260">
        <v>39.064446027681477</v>
      </c>
      <c r="Z13" s="260">
        <v>301.39158585698999</v>
      </c>
      <c r="AA13" s="260">
        <v>563.7187256862984</v>
      </c>
      <c r="AB13" s="260">
        <v>39.064446027681477</v>
      </c>
      <c r="AC13" s="260">
        <v>39.064446027681477</v>
      </c>
      <c r="AD13" s="260">
        <f>39.0696925704781+4</f>
        <v>43.069692570478097</v>
      </c>
      <c r="AE13" s="261">
        <f t="shared" si="0"/>
        <v>2200</v>
      </c>
      <c r="AF13" s="256">
        <v>2200</v>
      </c>
      <c r="AG13" s="256"/>
      <c r="AH13" s="272">
        <v>0</v>
      </c>
      <c r="AI13" s="272"/>
      <c r="AJ13" s="272">
        <v>0</v>
      </c>
      <c r="AK13" s="272"/>
      <c r="AL13" s="256"/>
      <c r="AM13" s="256"/>
      <c r="AN13" s="256"/>
      <c r="AO13" s="256"/>
      <c r="AR13" s="262">
        <f t="shared" si="1"/>
        <v>1.7756566376218852</v>
      </c>
      <c r="AS13" s="262">
        <f t="shared" si="2"/>
        <v>16.894225523834507</v>
      </c>
      <c r="AT13" s="262">
        <f t="shared" si="3"/>
        <v>21.546537728902788</v>
      </c>
      <c r="AU13" s="262">
        <f t="shared" si="4"/>
        <v>23.709723095817971</v>
      </c>
      <c r="AV13" s="262">
        <f t="shared" si="5"/>
        <v>26.447941477199898</v>
      </c>
      <c r="AW13" s="262">
        <f t="shared" si="6"/>
        <v>53.57393899105405</v>
      </c>
      <c r="AX13" s="262">
        <f t="shared" si="7"/>
        <v>55.349595628675935</v>
      </c>
      <c r="AY13" s="262">
        <f t="shared" si="8"/>
        <v>69.049213167630029</v>
      </c>
      <c r="AZ13" s="262">
        <f t="shared" si="9"/>
        <v>94.672791607916324</v>
      </c>
      <c r="BA13" s="262">
        <f t="shared" si="10"/>
        <v>96.448448245538202</v>
      </c>
      <c r="BB13" s="262">
        <f t="shared" si="11"/>
        <v>98.224104883160081</v>
      </c>
      <c r="BC13" s="262">
        <f t="shared" si="12"/>
        <v>100.18181818181817</v>
      </c>
      <c r="BD13" s="262">
        <f t="shared" si="13"/>
        <v>657.8739951691698</v>
      </c>
    </row>
    <row r="14" spans="1:56" s="253" customFormat="1" ht="30" x14ac:dyDescent="0.25">
      <c r="A14" s="253">
        <f t="shared" si="14"/>
        <v>12</v>
      </c>
      <c r="B14" s="253">
        <f>IF(LEN(D14)&gt;0,VLOOKUP(D14,'[2]1. Lists'!E:J,6,FALSE),"")</f>
        <v>9</v>
      </c>
      <c r="C14" s="253" t="str">
        <f>IF(LEN(D14)&gt;0,VLOOKUP(D14,'[2]1. Lists'!$E$3:$F$52,2,FALSE),"")</f>
        <v>Administration &amp; Community Services</v>
      </c>
      <c r="D14" s="254" t="s">
        <v>368</v>
      </c>
      <c r="E14" s="253">
        <f>IF(LEN(F14)&gt;0,VLOOKUP(F14,'1. Lists'!$T:$U,2,FALSE),"")</f>
        <v>87</v>
      </c>
      <c r="F14" s="255" t="s">
        <v>434</v>
      </c>
      <c r="G14" s="256"/>
      <c r="H14" s="256"/>
      <c r="I14" s="256"/>
      <c r="J14" s="256" t="s">
        <v>880</v>
      </c>
      <c r="K14" s="256" t="s">
        <v>889</v>
      </c>
      <c r="L14" s="257" t="s">
        <v>873</v>
      </c>
      <c r="M14" s="235" t="s">
        <v>874</v>
      </c>
      <c r="N14" s="235" t="s">
        <v>875</v>
      </c>
      <c r="O14" s="256"/>
      <c r="P14" s="258" t="s">
        <v>68</v>
      </c>
      <c r="Q14" s="258" t="s">
        <v>461</v>
      </c>
      <c r="R14" s="259"/>
      <c r="S14" s="260">
        <v>63.923638954387869</v>
      </c>
      <c r="T14" s="260">
        <v>544.26847990365434</v>
      </c>
      <c r="U14" s="260">
        <v>167.48323938245807</v>
      </c>
      <c r="V14" s="260">
        <v>77.874673208946547</v>
      </c>
      <c r="W14" s="260">
        <v>98.575861729749377</v>
      </c>
      <c r="X14" s="260">
        <v>976.53591049874944</v>
      </c>
      <c r="Y14" s="260">
        <v>63.923638954387869</v>
      </c>
      <c r="Z14" s="260">
        <v>493.18623140234723</v>
      </c>
      <c r="AA14" s="260">
        <v>922.44882385030655</v>
      </c>
      <c r="AB14" s="260">
        <v>63.923638954387869</v>
      </c>
      <c r="AC14" s="260">
        <v>63.923638954387869</v>
      </c>
      <c r="AD14" s="260">
        <f>63.9322242062368+8</f>
        <v>71.93222420623681</v>
      </c>
      <c r="AE14" s="261">
        <f t="shared" si="0"/>
        <v>3600</v>
      </c>
      <c r="AF14" s="256">
        <v>3600</v>
      </c>
      <c r="AG14" s="256"/>
      <c r="AH14" s="272">
        <v>0</v>
      </c>
      <c r="AI14" s="272"/>
      <c r="AJ14" s="272">
        <v>0</v>
      </c>
      <c r="AK14" s="272"/>
      <c r="AL14" s="256"/>
      <c r="AM14" s="256"/>
      <c r="AN14" s="256"/>
      <c r="AO14" s="256"/>
      <c r="AR14" s="262">
        <f t="shared" si="1"/>
        <v>1.7756566376218852</v>
      </c>
      <c r="AS14" s="262">
        <f t="shared" si="2"/>
        <v>16.894225523834507</v>
      </c>
      <c r="AT14" s="262">
        <f t="shared" si="3"/>
        <v>21.546537728902788</v>
      </c>
      <c r="AU14" s="262">
        <f t="shared" si="4"/>
        <v>23.709723095817971</v>
      </c>
      <c r="AV14" s="262">
        <f t="shared" si="5"/>
        <v>26.447941477199898</v>
      </c>
      <c r="AW14" s="262">
        <f t="shared" si="6"/>
        <v>53.57393899105405</v>
      </c>
      <c r="AX14" s="262">
        <f t="shared" si="7"/>
        <v>55.349595628675935</v>
      </c>
      <c r="AY14" s="262">
        <f t="shared" si="8"/>
        <v>69.049213167630029</v>
      </c>
      <c r="AZ14" s="262">
        <f t="shared" si="9"/>
        <v>94.672791607916324</v>
      </c>
      <c r="BA14" s="262">
        <f t="shared" si="10"/>
        <v>96.448448245538202</v>
      </c>
      <c r="BB14" s="262">
        <f t="shared" si="11"/>
        <v>98.224104883160081</v>
      </c>
      <c r="BC14" s="262">
        <f t="shared" si="12"/>
        <v>100.22222222222221</v>
      </c>
      <c r="BD14" s="262">
        <f t="shared" si="13"/>
        <v>657.91439920957384</v>
      </c>
    </row>
    <row r="15" spans="1:56" s="253" customFormat="1" ht="30" x14ac:dyDescent="0.25">
      <c r="A15" s="253">
        <f t="shared" si="14"/>
        <v>13</v>
      </c>
      <c r="B15" s="253">
        <f>IF(LEN(D15)&gt;0,VLOOKUP(D15,'[2]1. Lists'!E:J,6,FALSE),"")</f>
        <v>9</v>
      </c>
      <c r="C15" s="253" t="str">
        <f>IF(LEN(D15)&gt;0,VLOOKUP(D15,'[2]1. Lists'!$E$3:$F$52,2,FALSE),"")</f>
        <v>Administration &amp; Community Services</v>
      </c>
      <c r="D15" s="254" t="s">
        <v>368</v>
      </c>
      <c r="E15" s="253">
        <f>IF(LEN(F15)&gt;0,VLOOKUP(F15,'1. Lists'!$T:$U,2,FALSE),"")</f>
        <v>87</v>
      </c>
      <c r="F15" s="255" t="s">
        <v>434</v>
      </c>
      <c r="G15" s="256"/>
      <c r="H15" s="256"/>
      <c r="I15" s="256"/>
      <c r="J15" s="256" t="s">
        <v>876</v>
      </c>
      <c r="K15" s="256" t="s">
        <v>890</v>
      </c>
      <c r="L15" s="257" t="s">
        <v>873</v>
      </c>
      <c r="M15" s="235" t="s">
        <v>874</v>
      </c>
      <c r="N15" s="235" t="s">
        <v>875</v>
      </c>
      <c r="O15" s="256"/>
      <c r="P15" s="258" t="s">
        <v>68</v>
      </c>
      <c r="Q15" s="258" t="s">
        <v>461</v>
      </c>
      <c r="R15" s="259"/>
      <c r="S15" s="260">
        <v>163.36041066121345</v>
      </c>
      <c r="T15" s="260">
        <v>1390.9083375315613</v>
      </c>
      <c r="U15" s="260">
        <v>428.01272286628176</v>
      </c>
      <c r="V15" s="260">
        <v>199.01305375619674</v>
      </c>
      <c r="W15" s="260">
        <v>251.91609108713732</v>
      </c>
      <c r="X15" s="260">
        <v>2495.5917712745818</v>
      </c>
      <c r="Y15" s="260">
        <v>163.36041066121345</v>
      </c>
      <c r="Z15" s="260">
        <v>1260.3648135837764</v>
      </c>
      <c r="AA15" s="260">
        <v>2357.3692165063389</v>
      </c>
      <c r="AB15" s="260">
        <v>163.36041066121345</v>
      </c>
      <c r="AC15" s="260">
        <v>163.36041066121345</v>
      </c>
      <c r="AD15" s="260">
        <f>163.382350749272+5</f>
        <v>168.38235074927201</v>
      </c>
      <c r="AE15" s="261">
        <f t="shared" si="0"/>
        <v>9200</v>
      </c>
      <c r="AF15" s="256">
        <v>9200</v>
      </c>
      <c r="AG15" s="256"/>
      <c r="AH15" s="272">
        <v>0</v>
      </c>
      <c r="AI15" s="272"/>
      <c r="AJ15" s="272">
        <v>0</v>
      </c>
      <c r="AK15" s="272"/>
      <c r="AL15" s="256"/>
      <c r="AM15" s="256"/>
      <c r="AN15" s="256"/>
      <c r="AO15" s="256"/>
      <c r="AR15" s="262">
        <f t="shared" si="1"/>
        <v>1.7756566376218852</v>
      </c>
      <c r="AS15" s="262">
        <f t="shared" si="2"/>
        <v>16.894225523834507</v>
      </c>
      <c r="AT15" s="262">
        <f t="shared" si="3"/>
        <v>21.546537728902788</v>
      </c>
      <c r="AU15" s="262">
        <f t="shared" si="4"/>
        <v>23.709723095817971</v>
      </c>
      <c r="AV15" s="262">
        <f t="shared" si="5"/>
        <v>26.447941477199898</v>
      </c>
      <c r="AW15" s="262">
        <f t="shared" si="6"/>
        <v>53.57393899105405</v>
      </c>
      <c r="AX15" s="262">
        <f t="shared" si="7"/>
        <v>55.349595628675935</v>
      </c>
      <c r="AY15" s="262">
        <f t="shared" si="8"/>
        <v>69.049213167630029</v>
      </c>
      <c r="AZ15" s="262">
        <f t="shared" si="9"/>
        <v>94.672791607916324</v>
      </c>
      <c r="BA15" s="262">
        <f t="shared" si="10"/>
        <v>96.448448245538202</v>
      </c>
      <c r="BB15" s="262">
        <f t="shared" si="11"/>
        <v>98.224104883160081</v>
      </c>
      <c r="BC15" s="262">
        <f t="shared" si="12"/>
        <v>100.05434782608695</v>
      </c>
      <c r="BD15" s="262">
        <f t="shared" si="13"/>
        <v>657.74652481343867</v>
      </c>
    </row>
    <row r="16" spans="1:56" s="253" customFormat="1" ht="30" x14ac:dyDescent="0.25">
      <c r="A16" s="253">
        <f t="shared" si="14"/>
        <v>14</v>
      </c>
      <c r="B16" s="253">
        <f>IF(LEN(D16)&gt;0,VLOOKUP(D16,'[2]1. Lists'!E:J,6,FALSE),"")</f>
        <v>9</v>
      </c>
      <c r="C16" s="253" t="str">
        <f>IF(LEN(D16)&gt;0,VLOOKUP(D16,'[2]1. Lists'!$E$3:$F$52,2,FALSE),"")</f>
        <v>Administration &amp; Community Services</v>
      </c>
      <c r="D16" s="254" t="s">
        <v>368</v>
      </c>
      <c r="E16" s="253">
        <f>IF(LEN(F16)&gt;0,VLOOKUP(F16,'1. Lists'!$T:$U,2,FALSE),"")</f>
        <v>87</v>
      </c>
      <c r="F16" s="255" t="s">
        <v>434</v>
      </c>
      <c r="G16" s="256"/>
      <c r="H16" s="256"/>
      <c r="I16" s="256"/>
      <c r="J16" s="256" t="s">
        <v>876</v>
      </c>
      <c r="K16" s="256" t="s">
        <v>891</v>
      </c>
      <c r="L16" s="257" t="s">
        <v>873</v>
      </c>
      <c r="M16" s="235" t="s">
        <v>874</v>
      </c>
      <c r="N16" s="235" t="s">
        <v>875</v>
      </c>
      <c r="O16" s="256"/>
      <c r="P16" s="258" t="s">
        <v>68</v>
      </c>
      <c r="Q16" s="258" t="s">
        <v>461</v>
      </c>
      <c r="R16" s="259"/>
      <c r="S16" s="260">
        <v>49.718385853412791</v>
      </c>
      <c r="T16" s="260">
        <v>423.31992881395342</v>
      </c>
      <c r="U16" s="260">
        <v>130.26474174191185</v>
      </c>
      <c r="V16" s="260">
        <v>60.569190273625097</v>
      </c>
      <c r="W16" s="260">
        <v>76.670114678693963</v>
      </c>
      <c r="X16" s="260">
        <v>759.52793038791617</v>
      </c>
      <c r="Y16" s="260">
        <v>49.718385853412791</v>
      </c>
      <c r="Z16" s="260">
        <v>383.58929109071454</v>
      </c>
      <c r="AA16" s="260">
        <v>717.4601963280162</v>
      </c>
      <c r="AB16" s="260">
        <v>49.718385853412791</v>
      </c>
      <c r="AC16" s="260">
        <v>49.718385853412791</v>
      </c>
      <c r="AD16" s="260">
        <f>49.7250632715175+7</f>
        <v>56.725063271517499</v>
      </c>
      <c r="AE16" s="261">
        <f t="shared" si="0"/>
        <v>2800</v>
      </c>
      <c r="AF16" s="256">
        <v>2800</v>
      </c>
      <c r="AG16" s="256"/>
      <c r="AH16" s="272">
        <v>0</v>
      </c>
      <c r="AI16" s="272"/>
      <c r="AJ16" s="272">
        <v>0</v>
      </c>
      <c r="AK16" s="272"/>
      <c r="AL16" s="256"/>
      <c r="AM16" s="256"/>
      <c r="AN16" s="256"/>
      <c r="AO16" s="256"/>
      <c r="AR16" s="262">
        <f t="shared" si="1"/>
        <v>1.7756566376218852</v>
      </c>
      <c r="AS16" s="262">
        <f t="shared" si="2"/>
        <v>16.894225523834507</v>
      </c>
      <c r="AT16" s="262">
        <f t="shared" si="3"/>
        <v>21.546537728902788</v>
      </c>
      <c r="AU16" s="262">
        <f t="shared" si="4"/>
        <v>23.709723095817971</v>
      </c>
      <c r="AV16" s="262">
        <f t="shared" si="5"/>
        <v>26.447941477199898</v>
      </c>
      <c r="AW16" s="262">
        <f t="shared" si="6"/>
        <v>53.57393899105405</v>
      </c>
      <c r="AX16" s="262">
        <f t="shared" si="7"/>
        <v>55.349595628675935</v>
      </c>
      <c r="AY16" s="262">
        <f t="shared" si="8"/>
        <v>69.049213167630029</v>
      </c>
      <c r="AZ16" s="262">
        <f t="shared" si="9"/>
        <v>94.672791607916324</v>
      </c>
      <c r="BA16" s="262">
        <f t="shared" si="10"/>
        <v>96.448448245538202</v>
      </c>
      <c r="BB16" s="262">
        <f t="shared" si="11"/>
        <v>98.224104883160081</v>
      </c>
      <c r="BC16" s="262">
        <f t="shared" si="12"/>
        <v>100.24999999999999</v>
      </c>
      <c r="BD16" s="262">
        <f t="shared" si="13"/>
        <v>657.94217698735167</v>
      </c>
    </row>
    <row r="17" spans="1:56" s="253" customFormat="1" ht="30" x14ac:dyDescent="0.25">
      <c r="A17" s="253">
        <f t="shared" si="14"/>
        <v>15</v>
      </c>
      <c r="B17" s="253">
        <f>IF(LEN(D17)&gt;0,VLOOKUP(D17,'[2]1. Lists'!E:J,6,FALSE),"")</f>
        <v>9</v>
      </c>
      <c r="C17" s="253" t="str">
        <f>IF(LEN(D17)&gt;0,VLOOKUP(D17,'[2]1. Lists'!$E$3:$F$52,2,FALSE),"")</f>
        <v>Administration &amp; Community Services</v>
      </c>
      <c r="D17" s="254" t="s">
        <v>368</v>
      </c>
      <c r="E17" s="253">
        <f>IF(LEN(F17)&gt;0,VLOOKUP(F17,'1. Lists'!$T:$U,2,FALSE),"")</f>
        <v>87</v>
      </c>
      <c r="F17" s="255" t="s">
        <v>434</v>
      </c>
      <c r="G17" s="256"/>
      <c r="H17" s="256"/>
      <c r="I17" s="256"/>
      <c r="J17" s="256" t="s">
        <v>880</v>
      </c>
      <c r="K17" s="256" t="s">
        <v>892</v>
      </c>
      <c r="L17" s="257" t="s">
        <v>873</v>
      </c>
      <c r="M17" s="235" t="s">
        <v>874</v>
      </c>
      <c r="N17" s="235" t="s">
        <v>875</v>
      </c>
      <c r="O17" s="256"/>
      <c r="P17" s="258" t="s">
        <v>68</v>
      </c>
      <c r="Q17" s="258" t="s">
        <v>461</v>
      </c>
      <c r="R17" s="259"/>
      <c r="S17" s="260">
        <v>63.923638954387869</v>
      </c>
      <c r="T17" s="260">
        <v>544.26847990365434</v>
      </c>
      <c r="U17" s="260">
        <v>167.48323938245807</v>
      </c>
      <c r="V17" s="260">
        <v>77.874673208946547</v>
      </c>
      <c r="W17" s="260">
        <v>98.575861729749377</v>
      </c>
      <c r="X17" s="260">
        <v>976.53591049874944</v>
      </c>
      <c r="Y17" s="260">
        <v>63.923638954387869</v>
      </c>
      <c r="Z17" s="260">
        <v>493.18623140234723</v>
      </c>
      <c r="AA17" s="260">
        <v>922.44882385030655</v>
      </c>
      <c r="AB17" s="260">
        <v>63.923638954387869</v>
      </c>
      <c r="AC17" s="260">
        <v>63.923638954387869</v>
      </c>
      <c r="AD17" s="260">
        <f>63.9322242062368+8</f>
        <v>71.93222420623681</v>
      </c>
      <c r="AE17" s="261">
        <f t="shared" si="0"/>
        <v>3600</v>
      </c>
      <c r="AF17" s="256">
        <v>3600</v>
      </c>
      <c r="AG17" s="256"/>
      <c r="AH17" s="272">
        <v>0</v>
      </c>
      <c r="AI17" s="272"/>
      <c r="AJ17" s="272">
        <v>0</v>
      </c>
      <c r="AK17" s="272"/>
      <c r="AL17" s="256"/>
      <c r="AM17" s="256"/>
      <c r="AN17" s="256"/>
      <c r="AO17" s="256"/>
      <c r="AR17" s="262">
        <f t="shared" si="1"/>
        <v>1.7756566376218852</v>
      </c>
      <c r="AS17" s="262">
        <f t="shared" si="2"/>
        <v>16.894225523834507</v>
      </c>
      <c r="AT17" s="262">
        <f t="shared" si="3"/>
        <v>21.546537728902788</v>
      </c>
      <c r="AU17" s="262">
        <f t="shared" si="4"/>
        <v>23.709723095817971</v>
      </c>
      <c r="AV17" s="262">
        <f t="shared" si="5"/>
        <v>26.447941477199898</v>
      </c>
      <c r="AW17" s="262">
        <f t="shared" si="6"/>
        <v>53.57393899105405</v>
      </c>
      <c r="AX17" s="262">
        <f t="shared" si="7"/>
        <v>55.349595628675935</v>
      </c>
      <c r="AY17" s="262">
        <f t="shared" si="8"/>
        <v>69.049213167630029</v>
      </c>
      <c r="AZ17" s="262">
        <f t="shared" si="9"/>
        <v>94.672791607916324</v>
      </c>
      <c r="BA17" s="262">
        <f t="shared" si="10"/>
        <v>96.448448245538202</v>
      </c>
      <c r="BB17" s="262">
        <f t="shared" si="11"/>
        <v>98.224104883160081</v>
      </c>
      <c r="BC17" s="262">
        <f t="shared" si="12"/>
        <v>100.22222222222221</v>
      </c>
      <c r="BD17" s="262">
        <f t="shared" si="13"/>
        <v>657.91439920957384</v>
      </c>
    </row>
    <row r="18" spans="1:56" s="253" customFormat="1" ht="30" x14ac:dyDescent="0.25">
      <c r="A18" s="253">
        <f t="shared" si="14"/>
        <v>16</v>
      </c>
      <c r="B18" s="253">
        <f>IF(LEN(D18)&gt;0,VLOOKUP(D18,'[2]1. Lists'!E:J,6,FALSE),"")</f>
        <v>9</v>
      </c>
      <c r="C18" s="253" t="str">
        <f>IF(LEN(D18)&gt;0,VLOOKUP(D18,'[2]1. Lists'!$E$3:$F$52,2,FALSE),"")</f>
        <v>Administration &amp; Community Services</v>
      </c>
      <c r="D18" s="254" t="s">
        <v>368</v>
      </c>
      <c r="E18" s="253">
        <f>IF(LEN(F18)&gt;0,VLOOKUP(F18,'1. Lists'!$T:$U,2,FALSE),"")</f>
        <v>87</v>
      </c>
      <c r="F18" s="255" t="s">
        <v>434</v>
      </c>
      <c r="G18" s="256"/>
      <c r="H18" s="256"/>
      <c r="I18" s="256"/>
      <c r="J18" s="256" t="s">
        <v>883</v>
      </c>
      <c r="K18" s="256" t="s">
        <v>893</v>
      </c>
      <c r="L18" s="257" t="s">
        <v>873</v>
      </c>
      <c r="M18" s="235" t="s">
        <v>874</v>
      </c>
      <c r="N18" s="235" t="s">
        <v>875</v>
      </c>
      <c r="O18" s="256"/>
      <c r="P18" s="258" t="s">
        <v>68</v>
      </c>
      <c r="Q18" s="258" t="s">
        <v>461</v>
      </c>
      <c r="R18" s="259"/>
      <c r="S18" s="260">
        <v>887.82831881094262</v>
      </c>
      <c r="T18" s="260">
        <v>7559.2844431063104</v>
      </c>
      <c r="U18" s="260">
        <v>2326.1561025341398</v>
      </c>
      <c r="V18" s="260">
        <v>1081.592683457591</v>
      </c>
      <c r="W18" s="260">
        <v>1369.1091906909637</v>
      </c>
      <c r="X18" s="260">
        <v>13562.998756927074</v>
      </c>
      <c r="Y18" s="260">
        <v>887.82831881094262</v>
      </c>
      <c r="Z18" s="260">
        <v>6849.8087694770447</v>
      </c>
      <c r="AA18" s="260">
        <v>12811.789220143146</v>
      </c>
      <c r="AB18" s="260">
        <v>887.82831881094262</v>
      </c>
      <c r="AC18" s="260">
        <v>887.82831881094262</v>
      </c>
      <c r="AD18" s="260">
        <f>887.947558419956+8</f>
        <v>895.94755841995595</v>
      </c>
      <c r="AE18" s="261">
        <f t="shared" si="0"/>
        <v>50000</v>
      </c>
      <c r="AF18" s="256">
        <v>50000</v>
      </c>
      <c r="AG18" s="256"/>
      <c r="AH18" s="272">
        <v>0</v>
      </c>
      <c r="AI18" s="272"/>
      <c r="AJ18" s="272">
        <v>0</v>
      </c>
      <c r="AK18" s="272"/>
      <c r="AL18" s="256"/>
      <c r="AM18" s="256"/>
      <c r="AN18" s="256"/>
      <c r="AO18" s="256"/>
      <c r="AR18" s="262">
        <f t="shared" si="1"/>
        <v>1.7756566376218852</v>
      </c>
      <c r="AS18" s="262">
        <f t="shared" si="2"/>
        <v>16.894225523834507</v>
      </c>
      <c r="AT18" s="262">
        <f t="shared" si="3"/>
        <v>21.546537728902788</v>
      </c>
      <c r="AU18" s="262">
        <f t="shared" si="4"/>
        <v>23.709723095817971</v>
      </c>
      <c r="AV18" s="262">
        <f t="shared" si="5"/>
        <v>26.447941477199898</v>
      </c>
      <c r="AW18" s="262">
        <f t="shared" si="6"/>
        <v>53.57393899105405</v>
      </c>
      <c r="AX18" s="262">
        <f t="shared" si="7"/>
        <v>55.349595628675935</v>
      </c>
      <c r="AY18" s="262">
        <f t="shared" si="8"/>
        <v>69.049213167630029</v>
      </c>
      <c r="AZ18" s="262">
        <f t="shared" si="9"/>
        <v>94.672791607916324</v>
      </c>
      <c r="BA18" s="262">
        <f t="shared" si="10"/>
        <v>96.448448245538202</v>
      </c>
      <c r="BB18" s="262">
        <f t="shared" si="11"/>
        <v>98.224104883160081</v>
      </c>
      <c r="BC18" s="262">
        <f t="shared" si="12"/>
        <v>100.01599999999999</v>
      </c>
      <c r="BD18" s="262">
        <f t="shared" si="13"/>
        <v>657.70817698735164</v>
      </c>
    </row>
    <row r="19" spans="1:56" s="253" customFormat="1" ht="30" x14ac:dyDescent="0.25">
      <c r="A19" s="253">
        <f t="shared" si="14"/>
        <v>17</v>
      </c>
      <c r="B19" s="253">
        <f>IF(LEN(D19)&gt;0,VLOOKUP(D19,'[2]1. Lists'!E:J,6,FALSE),"")</f>
        <v>9</v>
      </c>
      <c r="C19" s="253" t="str">
        <f>IF(LEN(D19)&gt;0,VLOOKUP(D19,'[2]1. Lists'!$E$3:$F$52,2,FALSE),"")</f>
        <v>Administration &amp; Community Services</v>
      </c>
      <c r="D19" s="254" t="s">
        <v>368</v>
      </c>
      <c r="E19" s="253">
        <f>IF(LEN(F19)&gt;0,VLOOKUP(F19,'1. Lists'!$T:$U,2,FALSE),"")</f>
        <v>87</v>
      </c>
      <c r="F19" s="255" t="s">
        <v>434</v>
      </c>
      <c r="G19" s="256"/>
      <c r="H19" s="256"/>
      <c r="I19" s="256"/>
      <c r="J19" s="256" t="s">
        <v>894</v>
      </c>
      <c r="K19" s="256" t="s">
        <v>895</v>
      </c>
      <c r="L19" s="257" t="s">
        <v>873</v>
      </c>
      <c r="M19" s="235" t="s">
        <v>874</v>
      </c>
      <c r="N19" s="235" t="s">
        <v>875</v>
      </c>
      <c r="O19" s="256"/>
      <c r="P19" s="258" t="s">
        <v>68</v>
      </c>
      <c r="Q19" s="258" t="s">
        <v>461</v>
      </c>
      <c r="R19" s="259"/>
      <c r="S19" s="260">
        <v>14205.253100975082</v>
      </c>
      <c r="T19" s="260">
        <v>120948.55108970097</v>
      </c>
      <c r="U19" s="260">
        <v>37218.497640546237</v>
      </c>
      <c r="V19" s="260">
        <v>17305.482935321455</v>
      </c>
      <c r="W19" s="260">
        <v>21905.747051055419</v>
      </c>
      <c r="X19" s="260">
        <v>217007.98011083319</v>
      </c>
      <c r="Y19" s="260">
        <v>14205.253100975082</v>
      </c>
      <c r="Z19" s="260">
        <v>109596.94031163272</v>
      </c>
      <c r="AA19" s="260">
        <v>204988.62752229034</v>
      </c>
      <c r="AB19" s="260">
        <v>14205.253100975082</v>
      </c>
      <c r="AC19" s="260">
        <v>14205.253100975082</v>
      </c>
      <c r="AD19" s="260">
        <f>14207.1609347193+6</f>
        <v>14213.160934719301</v>
      </c>
      <c r="AE19" s="261">
        <f t="shared" si="0"/>
        <v>800000</v>
      </c>
      <c r="AF19" s="256">
        <v>800000</v>
      </c>
      <c r="AG19" s="256"/>
      <c r="AH19" s="272">
        <v>0</v>
      </c>
      <c r="AI19" s="272"/>
      <c r="AJ19" s="272">
        <v>0</v>
      </c>
      <c r="AK19" s="272"/>
      <c r="AL19" s="256"/>
      <c r="AM19" s="256"/>
      <c r="AN19" s="256"/>
      <c r="AO19" s="256"/>
      <c r="AR19" s="262">
        <f t="shared" si="1"/>
        <v>1.7756566376218852</v>
      </c>
      <c r="AS19" s="262">
        <f t="shared" si="2"/>
        <v>16.894225523834507</v>
      </c>
      <c r="AT19" s="262">
        <f t="shared" si="3"/>
        <v>21.546537728902788</v>
      </c>
      <c r="AU19" s="262">
        <f t="shared" si="4"/>
        <v>23.709723095817971</v>
      </c>
      <c r="AV19" s="262">
        <f t="shared" si="5"/>
        <v>26.447941477199898</v>
      </c>
      <c r="AW19" s="262">
        <f t="shared" si="6"/>
        <v>53.57393899105405</v>
      </c>
      <c r="AX19" s="262">
        <f t="shared" si="7"/>
        <v>55.349595628675935</v>
      </c>
      <c r="AY19" s="262">
        <f t="shared" si="8"/>
        <v>69.049213167630029</v>
      </c>
      <c r="AZ19" s="262">
        <f t="shared" si="9"/>
        <v>94.672791607916324</v>
      </c>
      <c r="BA19" s="262">
        <f t="shared" si="10"/>
        <v>96.448448245538202</v>
      </c>
      <c r="BB19" s="262">
        <f t="shared" si="11"/>
        <v>98.224104883160081</v>
      </c>
      <c r="BC19" s="262">
        <f t="shared" si="12"/>
        <v>100.00075</v>
      </c>
      <c r="BD19" s="262">
        <f t="shared" si="13"/>
        <v>657.69292698735171</v>
      </c>
    </row>
    <row r="20" spans="1:56" s="253" customFormat="1" ht="30" x14ac:dyDescent="0.25">
      <c r="A20" s="253">
        <f t="shared" si="14"/>
        <v>18</v>
      </c>
      <c r="B20" s="253">
        <f>IF(LEN(D20)&gt;0,VLOOKUP(D20,'[2]1. Lists'!E:J,6,FALSE),"")</f>
        <v>9</v>
      </c>
      <c r="C20" s="253" t="str">
        <f>IF(LEN(D20)&gt;0,VLOOKUP(D20,'[2]1. Lists'!$E$3:$F$52,2,FALSE),"")</f>
        <v>Administration &amp; Community Services</v>
      </c>
      <c r="D20" s="254" t="s">
        <v>368</v>
      </c>
      <c r="E20" s="253">
        <f>IF(LEN(F20)&gt;0,VLOOKUP(F20,'1. Lists'!$T:$U,2,FALSE),"")</f>
        <v>87</v>
      </c>
      <c r="F20" s="255" t="s">
        <v>434</v>
      </c>
      <c r="G20" s="256"/>
      <c r="H20" s="256"/>
      <c r="I20" s="256"/>
      <c r="J20" s="256" t="s">
        <v>880</v>
      </c>
      <c r="K20" s="256" t="s">
        <v>881</v>
      </c>
      <c r="L20" s="257" t="s">
        <v>873</v>
      </c>
      <c r="M20" s="235" t="s">
        <v>874</v>
      </c>
      <c r="N20" s="235" t="s">
        <v>875</v>
      </c>
      <c r="O20" s="256"/>
      <c r="P20" s="258" t="s">
        <v>68</v>
      </c>
      <c r="Q20" s="258" t="s">
        <v>461</v>
      </c>
      <c r="R20" s="259"/>
      <c r="S20" s="260">
        <v>177.56566376218854</v>
      </c>
      <c r="T20" s="260">
        <v>1511.8568886212622</v>
      </c>
      <c r="U20" s="260">
        <v>465.23122050682798</v>
      </c>
      <c r="V20" s="260">
        <v>216.3185366915182</v>
      </c>
      <c r="W20" s="260">
        <v>273.82183813819273</v>
      </c>
      <c r="X20" s="260">
        <v>2712.5997513854149</v>
      </c>
      <c r="Y20" s="260">
        <v>177.56566376218854</v>
      </c>
      <c r="Z20" s="260">
        <v>1369.9617538954089</v>
      </c>
      <c r="AA20" s="260">
        <v>2562.3578440286292</v>
      </c>
      <c r="AB20" s="260">
        <v>177.56566376218854</v>
      </c>
      <c r="AC20" s="260">
        <v>177.56566376218854</v>
      </c>
      <c r="AD20" s="260">
        <f>177.589511683991+7</f>
        <v>184.58951168399099</v>
      </c>
      <c r="AE20" s="261">
        <f t="shared" si="0"/>
        <v>10000</v>
      </c>
      <c r="AF20" s="256">
        <v>10000</v>
      </c>
      <c r="AG20" s="256"/>
      <c r="AH20" s="272">
        <v>0</v>
      </c>
      <c r="AI20" s="272"/>
      <c r="AJ20" s="272">
        <v>0</v>
      </c>
      <c r="AK20" s="272"/>
      <c r="AL20" s="256"/>
      <c r="AM20" s="256"/>
      <c r="AN20" s="256"/>
      <c r="AO20" s="256"/>
      <c r="AR20" s="262">
        <f t="shared" si="1"/>
        <v>1.7756566376218852</v>
      </c>
      <c r="AS20" s="262">
        <f t="shared" si="2"/>
        <v>16.894225523834507</v>
      </c>
      <c r="AT20" s="262">
        <f t="shared" si="3"/>
        <v>21.546537728902788</v>
      </c>
      <c r="AU20" s="262">
        <f t="shared" si="4"/>
        <v>23.709723095817971</v>
      </c>
      <c r="AV20" s="262">
        <f t="shared" si="5"/>
        <v>26.447941477199898</v>
      </c>
      <c r="AW20" s="262">
        <f t="shared" si="6"/>
        <v>53.57393899105405</v>
      </c>
      <c r="AX20" s="262">
        <f t="shared" si="7"/>
        <v>55.349595628675935</v>
      </c>
      <c r="AY20" s="262">
        <f t="shared" si="8"/>
        <v>69.049213167630029</v>
      </c>
      <c r="AZ20" s="262">
        <f t="shared" si="9"/>
        <v>94.672791607916324</v>
      </c>
      <c r="BA20" s="262">
        <f t="shared" si="10"/>
        <v>96.448448245538202</v>
      </c>
      <c r="BB20" s="262">
        <f t="shared" si="11"/>
        <v>98.224104883160081</v>
      </c>
      <c r="BC20" s="262">
        <f t="shared" si="12"/>
        <v>100.07</v>
      </c>
      <c r="BD20" s="262">
        <f t="shared" si="13"/>
        <v>657.76217698735172</v>
      </c>
    </row>
    <row r="21" spans="1:56" s="253" customFormat="1" ht="30" x14ac:dyDescent="0.25">
      <c r="A21" s="253">
        <f t="shared" si="14"/>
        <v>19</v>
      </c>
      <c r="B21" s="253">
        <f>IF(LEN(D21)&gt;0,VLOOKUP(D21,'[2]1. Lists'!E:J,6,FALSE),"")</f>
        <v>21</v>
      </c>
      <c r="C21" s="253" t="str">
        <f>IF(LEN(D21)&gt;0,VLOOKUP(D21,'[2]1. Lists'!$E$3:$F$52,2,FALSE),"")</f>
        <v>Financial Services</v>
      </c>
      <c r="D21" s="254" t="s">
        <v>378</v>
      </c>
      <c r="E21" s="253">
        <f>IF(LEN(F21)&gt;0,VLOOKUP(F21,'1. Lists'!$T:$U,2,FALSE),"")</f>
        <v>143</v>
      </c>
      <c r="F21" s="264" t="s">
        <v>869</v>
      </c>
      <c r="G21" s="256"/>
      <c r="H21" s="256"/>
      <c r="I21" s="256"/>
      <c r="J21" s="256" t="s">
        <v>880</v>
      </c>
      <c r="K21" s="256" t="s">
        <v>896</v>
      </c>
      <c r="L21" s="257" t="s">
        <v>873</v>
      </c>
      <c r="M21" s="235" t="s">
        <v>874</v>
      </c>
      <c r="N21" s="235" t="s">
        <v>875</v>
      </c>
      <c r="O21" s="256"/>
      <c r="P21" s="258" t="s">
        <v>68</v>
      </c>
      <c r="Q21" s="258" t="s">
        <v>461</v>
      </c>
      <c r="R21" s="259"/>
      <c r="S21" s="260">
        <v>142.05253100975082</v>
      </c>
      <c r="T21" s="260">
        <v>1209.4855108970098</v>
      </c>
      <c r="U21" s="260">
        <v>372.18497640546241</v>
      </c>
      <c r="V21" s="260">
        <v>173.05482935321456</v>
      </c>
      <c r="W21" s="260">
        <v>219.0574705105542</v>
      </c>
      <c r="X21" s="260">
        <v>2170.079801108332</v>
      </c>
      <c r="Y21" s="260">
        <v>142.05253100975082</v>
      </c>
      <c r="Z21" s="260">
        <v>1095.9694031163272</v>
      </c>
      <c r="AA21" s="260">
        <v>2049.8862752229034</v>
      </c>
      <c r="AB21" s="260">
        <v>142.05253100975082</v>
      </c>
      <c r="AC21" s="260">
        <v>142.05253100975082</v>
      </c>
      <c r="AD21" s="260">
        <f>142.071609347193+3</f>
        <v>145.071609347193</v>
      </c>
      <c r="AE21" s="261">
        <f t="shared" si="0"/>
        <v>8000</v>
      </c>
      <c r="AF21" s="256">
        <v>8000</v>
      </c>
      <c r="AG21" s="256"/>
      <c r="AH21" s="272">
        <v>0</v>
      </c>
      <c r="AI21" s="272"/>
      <c r="AJ21" s="272">
        <v>0</v>
      </c>
      <c r="AK21" s="272"/>
      <c r="AL21" s="256"/>
      <c r="AM21" s="256"/>
      <c r="AN21" s="256"/>
      <c r="AO21" s="256"/>
      <c r="AR21" s="262">
        <f t="shared" si="1"/>
        <v>1.7756566376218852</v>
      </c>
      <c r="AS21" s="262">
        <f t="shared" si="2"/>
        <v>16.894225523834507</v>
      </c>
      <c r="AT21" s="262">
        <f t="shared" si="3"/>
        <v>21.546537728902788</v>
      </c>
      <c r="AU21" s="262">
        <f t="shared" si="4"/>
        <v>23.709723095817971</v>
      </c>
      <c r="AV21" s="262">
        <f t="shared" si="5"/>
        <v>26.447941477199898</v>
      </c>
      <c r="AW21" s="262">
        <f t="shared" si="6"/>
        <v>53.57393899105405</v>
      </c>
      <c r="AX21" s="262">
        <f t="shared" si="7"/>
        <v>55.349595628675935</v>
      </c>
      <c r="AY21" s="262">
        <f t="shared" si="8"/>
        <v>69.049213167630029</v>
      </c>
      <c r="AZ21" s="262">
        <f t="shared" si="9"/>
        <v>94.672791607916324</v>
      </c>
      <c r="BA21" s="262">
        <f t="shared" si="10"/>
        <v>96.448448245538202</v>
      </c>
      <c r="BB21" s="262">
        <f t="shared" si="11"/>
        <v>98.224104883160081</v>
      </c>
      <c r="BC21" s="262">
        <f t="shared" si="12"/>
        <v>100.03749999999999</v>
      </c>
      <c r="BD21" s="262">
        <f t="shared" si="13"/>
        <v>657.7296769873517</v>
      </c>
    </row>
    <row r="22" spans="1:56" s="253" customFormat="1" ht="30" x14ac:dyDescent="0.25">
      <c r="A22" s="253">
        <f t="shared" si="14"/>
        <v>20</v>
      </c>
      <c r="B22" s="253">
        <f>IF(LEN(D22)&gt;0,VLOOKUP(D22,'[2]1. Lists'!E:J,6,FALSE),"")</f>
        <v>21</v>
      </c>
      <c r="C22" s="253" t="str">
        <f>IF(LEN(D22)&gt;0,VLOOKUP(D22,'[2]1. Lists'!$E$3:$F$52,2,FALSE),"")</f>
        <v>Financial Services</v>
      </c>
      <c r="D22" s="254" t="s">
        <v>378</v>
      </c>
      <c r="E22" s="253">
        <f>IF(LEN(F22)&gt;0,VLOOKUP(F22,'1. Lists'!$T:$U,2,FALSE),"")</f>
        <v>143</v>
      </c>
      <c r="F22" s="264" t="s">
        <v>869</v>
      </c>
      <c r="G22" s="256"/>
      <c r="H22" s="256"/>
      <c r="I22" s="256"/>
      <c r="J22" s="256" t="s">
        <v>880</v>
      </c>
      <c r="K22" s="256" t="s">
        <v>889</v>
      </c>
      <c r="L22" s="257" t="s">
        <v>873</v>
      </c>
      <c r="M22" s="235" t="s">
        <v>874</v>
      </c>
      <c r="N22" s="235" t="s">
        <v>875</v>
      </c>
      <c r="O22" s="256"/>
      <c r="P22" s="258" t="s">
        <v>68</v>
      </c>
      <c r="Q22" s="258" t="s">
        <v>461</v>
      </c>
      <c r="R22" s="259"/>
      <c r="S22" s="260">
        <v>142.05253100975082</v>
      </c>
      <c r="T22" s="260">
        <v>1209.4855108970098</v>
      </c>
      <c r="U22" s="260">
        <v>372.18497640546241</v>
      </c>
      <c r="V22" s="260">
        <v>173.05482935321456</v>
      </c>
      <c r="W22" s="260">
        <v>219.0574705105542</v>
      </c>
      <c r="X22" s="260">
        <v>2170.079801108332</v>
      </c>
      <c r="Y22" s="260">
        <v>142.05253100975082</v>
      </c>
      <c r="Z22" s="260">
        <v>1095.9694031163272</v>
      </c>
      <c r="AA22" s="260">
        <v>2049.8862752229034</v>
      </c>
      <c r="AB22" s="260">
        <v>142.05253100975082</v>
      </c>
      <c r="AC22" s="260">
        <v>142.05253100975082</v>
      </c>
      <c r="AD22" s="260">
        <f>142.071609347193+3</f>
        <v>145.071609347193</v>
      </c>
      <c r="AE22" s="261">
        <f t="shared" si="0"/>
        <v>8000</v>
      </c>
      <c r="AF22" s="256">
        <v>8000</v>
      </c>
      <c r="AG22" s="256"/>
      <c r="AH22" s="272">
        <v>8000</v>
      </c>
      <c r="AI22" s="272"/>
      <c r="AJ22" s="272">
        <v>5000</v>
      </c>
      <c r="AK22" s="272"/>
      <c r="AL22" s="256"/>
      <c r="AM22" s="256"/>
      <c r="AN22" s="256"/>
      <c r="AO22" s="256"/>
      <c r="AR22" s="262">
        <f t="shared" si="1"/>
        <v>1.7756566376218852</v>
      </c>
      <c r="AS22" s="262">
        <f t="shared" si="2"/>
        <v>16.894225523834507</v>
      </c>
      <c r="AT22" s="262">
        <f t="shared" si="3"/>
        <v>21.546537728902788</v>
      </c>
      <c r="AU22" s="262">
        <f t="shared" si="4"/>
        <v>23.709723095817971</v>
      </c>
      <c r="AV22" s="262">
        <f t="shared" si="5"/>
        <v>26.447941477199898</v>
      </c>
      <c r="AW22" s="262">
        <f t="shared" si="6"/>
        <v>53.57393899105405</v>
      </c>
      <c r="AX22" s="262">
        <f t="shared" si="7"/>
        <v>55.349595628675935</v>
      </c>
      <c r="AY22" s="262">
        <f t="shared" si="8"/>
        <v>69.049213167630029</v>
      </c>
      <c r="AZ22" s="262">
        <f t="shared" si="9"/>
        <v>94.672791607916324</v>
      </c>
      <c r="BA22" s="262">
        <f t="shared" si="10"/>
        <v>96.448448245538202</v>
      </c>
      <c r="BB22" s="262">
        <f t="shared" si="11"/>
        <v>98.224104883160081</v>
      </c>
      <c r="BC22" s="262">
        <f t="shared" si="12"/>
        <v>100.03749999999999</v>
      </c>
      <c r="BD22" s="262">
        <f t="shared" si="13"/>
        <v>657.7296769873517</v>
      </c>
    </row>
    <row r="23" spans="1:56" s="253" customFormat="1" ht="30" x14ac:dyDescent="0.25">
      <c r="A23" s="253">
        <f t="shared" si="14"/>
        <v>21</v>
      </c>
      <c r="B23" s="253">
        <f>IF(LEN(D23)&gt;0,VLOOKUP(D23,'[2]1. Lists'!E:J,6,FALSE),"")</f>
        <v>21</v>
      </c>
      <c r="C23" s="253" t="str">
        <f>IF(LEN(D23)&gt;0,VLOOKUP(D23,'[2]1. Lists'!$E$3:$F$52,2,FALSE),"")</f>
        <v>Financial Services</v>
      </c>
      <c r="D23" s="254" t="s">
        <v>378</v>
      </c>
      <c r="E23" s="253">
        <f>IF(LEN(F23)&gt;0,VLOOKUP(F23,'1. Lists'!$T:$U,2,FALSE),"")</f>
        <v>143</v>
      </c>
      <c r="F23" s="264" t="s">
        <v>869</v>
      </c>
      <c r="G23" s="256"/>
      <c r="H23" s="256"/>
      <c r="I23" s="256"/>
      <c r="J23" s="256" t="s">
        <v>880</v>
      </c>
      <c r="K23" s="256" t="s">
        <v>897</v>
      </c>
      <c r="L23" s="257" t="s">
        <v>873</v>
      </c>
      <c r="M23" s="235" t="s">
        <v>874</v>
      </c>
      <c r="N23" s="235" t="s">
        <v>875</v>
      </c>
      <c r="O23" s="256"/>
      <c r="P23" s="258" t="s">
        <v>68</v>
      </c>
      <c r="Q23" s="258" t="s">
        <v>461</v>
      </c>
      <c r="R23" s="259"/>
      <c r="S23" s="260">
        <v>106.53939825731311</v>
      </c>
      <c r="T23" s="260">
        <v>907.11413317275731</v>
      </c>
      <c r="U23" s="260">
        <v>279.13873230409678</v>
      </c>
      <c r="V23" s="260">
        <v>129.79112201491091</v>
      </c>
      <c r="W23" s="260">
        <v>164.29310288291563</v>
      </c>
      <c r="X23" s="260">
        <v>1627.5598508312489</v>
      </c>
      <c r="Y23" s="260">
        <v>106.53939825731311</v>
      </c>
      <c r="Z23" s="260">
        <v>821.97705233724537</v>
      </c>
      <c r="AA23" s="260">
        <v>1537.4147064171775</v>
      </c>
      <c r="AB23" s="260">
        <v>106.53939825731311</v>
      </c>
      <c r="AC23" s="260">
        <v>106.53939825731311</v>
      </c>
      <c r="AD23" s="260">
        <f>106.553707010395+6</f>
        <v>112.553707010395</v>
      </c>
      <c r="AE23" s="261">
        <f t="shared" si="0"/>
        <v>6000</v>
      </c>
      <c r="AF23" s="256">
        <v>6000</v>
      </c>
      <c r="AG23" s="256"/>
      <c r="AH23" s="272">
        <v>5000</v>
      </c>
      <c r="AI23" s="272"/>
      <c r="AJ23" s="272">
        <v>5000</v>
      </c>
      <c r="AK23" s="272"/>
      <c r="AL23" s="256"/>
      <c r="AM23" s="256"/>
      <c r="AN23" s="256"/>
      <c r="AO23" s="256"/>
      <c r="AR23" s="262">
        <f t="shared" si="1"/>
        <v>1.7756566376218852</v>
      </c>
      <c r="AS23" s="262">
        <f t="shared" si="2"/>
        <v>16.894225523834507</v>
      </c>
      <c r="AT23" s="262">
        <f t="shared" si="3"/>
        <v>21.546537728902788</v>
      </c>
      <c r="AU23" s="262">
        <f t="shared" si="4"/>
        <v>23.709723095817971</v>
      </c>
      <c r="AV23" s="262">
        <f t="shared" si="5"/>
        <v>26.447941477199898</v>
      </c>
      <c r="AW23" s="262">
        <f t="shared" si="6"/>
        <v>53.57393899105405</v>
      </c>
      <c r="AX23" s="262">
        <f t="shared" si="7"/>
        <v>55.349595628675935</v>
      </c>
      <c r="AY23" s="262">
        <f t="shared" si="8"/>
        <v>69.049213167630029</v>
      </c>
      <c r="AZ23" s="262">
        <f t="shared" si="9"/>
        <v>94.672791607916324</v>
      </c>
      <c r="BA23" s="262">
        <f t="shared" si="10"/>
        <v>96.448448245538202</v>
      </c>
      <c r="BB23" s="262">
        <f t="shared" si="11"/>
        <v>98.224104883160081</v>
      </c>
      <c r="BC23" s="262">
        <f t="shared" si="12"/>
        <v>100.1</v>
      </c>
      <c r="BD23" s="262">
        <f t="shared" si="13"/>
        <v>657.7921769873517</v>
      </c>
    </row>
    <row r="24" spans="1:56" s="253" customFormat="1" ht="30" x14ac:dyDescent="0.25">
      <c r="A24" s="253">
        <f t="shared" si="14"/>
        <v>22</v>
      </c>
      <c r="B24" s="253">
        <f>IF(LEN(D24)&gt;0,VLOOKUP(D24,'[2]1. Lists'!E:J,6,FALSE),"")</f>
        <v>21</v>
      </c>
      <c r="C24" s="253" t="str">
        <f>IF(LEN(D24)&gt;0,VLOOKUP(D24,'[2]1. Lists'!$E$3:$F$52,2,FALSE),"")</f>
        <v>Financial Services</v>
      </c>
      <c r="D24" s="254" t="s">
        <v>378</v>
      </c>
      <c r="E24" s="253">
        <f>IF(LEN(F24)&gt;0,VLOOKUP(F24,'1. Lists'!$T:$U,2,FALSE),"")</f>
        <v>143</v>
      </c>
      <c r="F24" s="264" t="s">
        <v>869</v>
      </c>
      <c r="G24" s="256"/>
      <c r="H24" s="256"/>
      <c r="I24" s="256"/>
      <c r="J24" s="256" t="s">
        <v>880</v>
      </c>
      <c r="K24" s="256" t="s">
        <v>898</v>
      </c>
      <c r="L24" s="257" t="s">
        <v>873</v>
      </c>
      <c r="M24" s="235" t="s">
        <v>874</v>
      </c>
      <c r="N24" s="235" t="s">
        <v>875</v>
      </c>
      <c r="O24" s="256"/>
      <c r="P24" s="258" t="s">
        <v>68</v>
      </c>
      <c r="Q24" s="258" t="s">
        <v>461</v>
      </c>
      <c r="R24" s="259"/>
      <c r="S24" s="260">
        <v>266.34849564328277</v>
      </c>
      <c r="T24" s="260">
        <v>2267.7853329318932</v>
      </c>
      <c r="U24" s="260">
        <v>697.84683076024203</v>
      </c>
      <c r="V24" s="260">
        <v>324.47780503727728</v>
      </c>
      <c r="W24" s="260">
        <v>410.73275720728913</v>
      </c>
      <c r="X24" s="260">
        <v>4068.8996270781226</v>
      </c>
      <c r="Y24" s="260">
        <v>266.34849564328277</v>
      </c>
      <c r="Z24" s="260">
        <v>2054.9426308431134</v>
      </c>
      <c r="AA24" s="260">
        <v>3843.5367660429438</v>
      </c>
      <c r="AB24" s="260">
        <v>266.34849564328277</v>
      </c>
      <c r="AC24" s="260">
        <v>266.34849564328277</v>
      </c>
      <c r="AD24" s="260">
        <f>266.384267525987+7</f>
        <v>273.38426752598701</v>
      </c>
      <c r="AE24" s="261">
        <f t="shared" si="0"/>
        <v>15000</v>
      </c>
      <c r="AF24" s="256">
        <v>15000</v>
      </c>
      <c r="AG24" s="256"/>
      <c r="AH24" s="272">
        <v>15000</v>
      </c>
      <c r="AI24" s="272"/>
      <c r="AJ24" s="272">
        <v>15000</v>
      </c>
      <c r="AK24" s="272"/>
      <c r="AL24" s="256"/>
      <c r="AM24" s="256"/>
      <c r="AN24" s="256"/>
      <c r="AO24" s="256"/>
      <c r="AR24" s="262">
        <f t="shared" si="1"/>
        <v>1.7756566376218852</v>
      </c>
      <c r="AS24" s="262">
        <f t="shared" si="2"/>
        <v>16.894225523834507</v>
      </c>
      <c r="AT24" s="262">
        <f t="shared" si="3"/>
        <v>21.546537728902788</v>
      </c>
      <c r="AU24" s="262">
        <f t="shared" si="4"/>
        <v>23.709723095817971</v>
      </c>
      <c r="AV24" s="262">
        <f t="shared" si="5"/>
        <v>26.447941477199898</v>
      </c>
      <c r="AW24" s="262">
        <f t="shared" si="6"/>
        <v>53.57393899105405</v>
      </c>
      <c r="AX24" s="262">
        <f t="shared" si="7"/>
        <v>55.349595628675935</v>
      </c>
      <c r="AY24" s="262">
        <f t="shared" si="8"/>
        <v>69.049213167630029</v>
      </c>
      <c r="AZ24" s="262">
        <f t="shared" si="9"/>
        <v>94.672791607916324</v>
      </c>
      <c r="BA24" s="262">
        <f t="shared" si="10"/>
        <v>96.448448245538202</v>
      </c>
      <c r="BB24" s="262">
        <f t="shared" si="11"/>
        <v>98.224104883160081</v>
      </c>
      <c r="BC24" s="262">
        <f t="shared" si="12"/>
        <v>100.04666666666667</v>
      </c>
      <c r="BD24" s="262">
        <f t="shared" si="13"/>
        <v>657.7388436540183</v>
      </c>
    </row>
    <row r="25" spans="1:56" s="253" customFormat="1" ht="30" x14ac:dyDescent="0.25">
      <c r="A25" s="253">
        <f t="shared" si="14"/>
        <v>23</v>
      </c>
      <c r="B25" s="253">
        <f>IF(LEN(D25)&gt;0,VLOOKUP(D25,'[2]1. Lists'!E:J,6,FALSE),"")</f>
        <v>21</v>
      </c>
      <c r="C25" s="253" t="str">
        <f>IF(LEN(D25)&gt;0,VLOOKUP(D25,'[2]1. Lists'!$E$3:$F$52,2,FALSE),"")</f>
        <v>Financial Services</v>
      </c>
      <c r="D25" s="254" t="s">
        <v>378</v>
      </c>
      <c r="E25" s="253">
        <f>IF(LEN(F25)&gt;0,VLOOKUP(F25,'1. Lists'!$T:$U,2,FALSE),"")</f>
        <v>143</v>
      </c>
      <c r="F25" s="264" t="s">
        <v>869</v>
      </c>
      <c r="G25" s="256"/>
      <c r="H25" s="256"/>
      <c r="I25" s="256"/>
      <c r="J25" s="256" t="s">
        <v>880</v>
      </c>
      <c r="K25" s="256" t="s">
        <v>899</v>
      </c>
      <c r="L25" s="257" t="s">
        <v>873</v>
      </c>
      <c r="M25" s="235" t="s">
        <v>874</v>
      </c>
      <c r="N25" s="235" t="s">
        <v>875</v>
      </c>
      <c r="O25" s="256"/>
      <c r="P25" s="258" t="s">
        <v>68</v>
      </c>
      <c r="Q25" s="258" t="s">
        <v>461</v>
      </c>
      <c r="R25" s="259"/>
      <c r="S25" s="260">
        <v>266.34849564328277</v>
      </c>
      <c r="T25" s="260">
        <v>2267.7853329318932</v>
      </c>
      <c r="U25" s="260">
        <v>697.84683076024203</v>
      </c>
      <c r="V25" s="260">
        <v>324.47780503727728</v>
      </c>
      <c r="W25" s="260">
        <v>410.73275720728913</v>
      </c>
      <c r="X25" s="260">
        <v>4068.8996270781226</v>
      </c>
      <c r="Y25" s="260">
        <v>266.34849564328277</v>
      </c>
      <c r="Z25" s="260">
        <v>2054.9426308431134</v>
      </c>
      <c r="AA25" s="260">
        <v>3843.5367660429438</v>
      </c>
      <c r="AB25" s="260">
        <v>266.34849564328277</v>
      </c>
      <c r="AC25" s="260">
        <v>266.34849564328277</v>
      </c>
      <c r="AD25" s="260">
        <f>266.384267525987+7</f>
        <v>273.38426752598701</v>
      </c>
      <c r="AE25" s="261">
        <f t="shared" si="0"/>
        <v>15000</v>
      </c>
      <c r="AF25" s="256">
        <v>15000</v>
      </c>
      <c r="AG25" s="256"/>
      <c r="AH25" s="272">
        <v>5000</v>
      </c>
      <c r="AI25" s="272"/>
      <c r="AJ25" s="272">
        <v>5000</v>
      </c>
      <c r="AK25" s="272"/>
      <c r="AL25" s="256"/>
      <c r="AM25" s="256"/>
      <c r="AN25" s="256"/>
      <c r="AO25" s="256"/>
      <c r="AR25" s="262">
        <f t="shared" si="1"/>
        <v>1.7756566376218852</v>
      </c>
      <c r="AS25" s="262">
        <f t="shared" si="2"/>
        <v>16.894225523834507</v>
      </c>
      <c r="AT25" s="262">
        <f t="shared" si="3"/>
        <v>21.546537728902788</v>
      </c>
      <c r="AU25" s="262">
        <f t="shared" si="4"/>
        <v>23.709723095817971</v>
      </c>
      <c r="AV25" s="262">
        <f t="shared" si="5"/>
        <v>26.447941477199898</v>
      </c>
      <c r="AW25" s="262">
        <f t="shared" si="6"/>
        <v>53.57393899105405</v>
      </c>
      <c r="AX25" s="262">
        <f t="shared" si="7"/>
        <v>55.349595628675935</v>
      </c>
      <c r="AY25" s="262">
        <f t="shared" si="8"/>
        <v>69.049213167630029</v>
      </c>
      <c r="AZ25" s="262">
        <f t="shared" si="9"/>
        <v>94.672791607916324</v>
      </c>
      <c r="BA25" s="262">
        <f t="shared" si="10"/>
        <v>96.448448245538202</v>
      </c>
      <c r="BB25" s="262">
        <f t="shared" si="11"/>
        <v>98.224104883160081</v>
      </c>
      <c r="BC25" s="262">
        <f t="shared" si="12"/>
        <v>100.04666666666667</v>
      </c>
      <c r="BD25" s="262">
        <f t="shared" si="13"/>
        <v>657.7388436540183</v>
      </c>
    </row>
    <row r="26" spans="1:56" s="253" customFormat="1" ht="30" x14ac:dyDescent="0.25">
      <c r="A26" s="253">
        <f t="shared" si="14"/>
        <v>24</v>
      </c>
      <c r="B26" s="253">
        <f>IF(LEN(D26)&gt;0,VLOOKUP(D26,'[2]1. Lists'!E:J,6,FALSE),"")</f>
        <v>21</v>
      </c>
      <c r="C26" s="253" t="str">
        <f>IF(LEN(D26)&gt;0,VLOOKUP(D26,'[2]1. Lists'!$E$3:$F$52,2,FALSE),"")</f>
        <v>Financial Services</v>
      </c>
      <c r="D26" s="254" t="s">
        <v>378</v>
      </c>
      <c r="E26" s="253">
        <f>IF(LEN(F26)&gt;0,VLOOKUP(F26,'1. Lists'!$T:$U,2,FALSE),"")</f>
        <v>143</v>
      </c>
      <c r="F26" s="264" t="s">
        <v>869</v>
      </c>
      <c r="G26" s="256"/>
      <c r="H26" s="256"/>
      <c r="I26" s="256"/>
      <c r="J26" s="256" t="s">
        <v>876</v>
      </c>
      <c r="K26" s="256" t="s">
        <v>900</v>
      </c>
      <c r="L26" s="257" t="s">
        <v>873</v>
      </c>
      <c r="M26" s="235" t="s">
        <v>874</v>
      </c>
      <c r="N26" s="235" t="s">
        <v>875</v>
      </c>
      <c r="O26" s="256"/>
      <c r="P26" s="258" t="s">
        <v>68</v>
      </c>
      <c r="Q26" s="258" t="s">
        <v>461</v>
      </c>
      <c r="R26" s="259"/>
      <c r="S26" s="260">
        <v>177.56566376218854</v>
      </c>
      <c r="T26" s="260">
        <v>1511.8568886212622</v>
      </c>
      <c r="U26" s="260">
        <v>465.23122050682798</v>
      </c>
      <c r="V26" s="260">
        <v>216.3185366915182</v>
      </c>
      <c r="W26" s="260">
        <v>273.82183813819273</v>
      </c>
      <c r="X26" s="260">
        <v>2712.5997513854149</v>
      </c>
      <c r="Y26" s="260">
        <v>177.56566376218854</v>
      </c>
      <c r="Z26" s="260">
        <v>1369.9617538954089</v>
      </c>
      <c r="AA26" s="260">
        <v>2562.3578440286292</v>
      </c>
      <c r="AB26" s="260">
        <v>177.56566376218854</v>
      </c>
      <c r="AC26" s="260">
        <v>177.56566376218854</v>
      </c>
      <c r="AD26" s="260">
        <f>177.589511683991+7</f>
        <v>184.58951168399099</v>
      </c>
      <c r="AE26" s="261">
        <f t="shared" si="0"/>
        <v>10000</v>
      </c>
      <c r="AF26" s="256">
        <v>10000</v>
      </c>
      <c r="AG26" s="256"/>
      <c r="AH26" s="272">
        <v>10000</v>
      </c>
      <c r="AI26" s="272"/>
      <c r="AJ26" s="272">
        <v>10000</v>
      </c>
      <c r="AK26" s="272"/>
      <c r="AL26" s="256"/>
      <c r="AM26" s="256"/>
      <c r="AN26" s="256"/>
      <c r="AO26" s="256"/>
      <c r="AR26" s="262">
        <f t="shared" si="1"/>
        <v>1.7756566376218852</v>
      </c>
      <c r="AS26" s="262">
        <f t="shared" si="2"/>
        <v>16.894225523834507</v>
      </c>
      <c r="AT26" s="262">
        <f t="shared" si="3"/>
        <v>21.546537728902788</v>
      </c>
      <c r="AU26" s="262">
        <f t="shared" si="4"/>
        <v>23.709723095817971</v>
      </c>
      <c r="AV26" s="262">
        <f t="shared" si="5"/>
        <v>26.447941477199898</v>
      </c>
      <c r="AW26" s="262">
        <f t="shared" si="6"/>
        <v>53.57393899105405</v>
      </c>
      <c r="AX26" s="262">
        <f t="shared" si="7"/>
        <v>55.349595628675935</v>
      </c>
      <c r="AY26" s="262">
        <f t="shared" si="8"/>
        <v>69.049213167630029</v>
      </c>
      <c r="AZ26" s="262">
        <f t="shared" si="9"/>
        <v>94.672791607916324</v>
      </c>
      <c r="BA26" s="262">
        <f t="shared" si="10"/>
        <v>96.448448245538202</v>
      </c>
      <c r="BB26" s="262">
        <f t="shared" si="11"/>
        <v>98.224104883160081</v>
      </c>
      <c r="BC26" s="262">
        <f t="shared" si="12"/>
        <v>100.07</v>
      </c>
      <c r="BD26" s="262">
        <f t="shared" si="13"/>
        <v>657.76217698735172</v>
      </c>
    </row>
    <row r="27" spans="1:56" s="253" customFormat="1" ht="30" x14ac:dyDescent="0.25">
      <c r="A27" s="253">
        <f t="shared" si="14"/>
        <v>25</v>
      </c>
      <c r="B27" s="253">
        <f>IF(LEN(D27)&gt;0,VLOOKUP(D27,'[2]1. Lists'!E:J,6,FALSE),"")</f>
        <v>21</v>
      </c>
      <c r="C27" s="253" t="str">
        <f>IF(LEN(D27)&gt;0,VLOOKUP(D27,'[2]1. Lists'!$E$3:$F$52,2,FALSE),"")</f>
        <v>Financial Services</v>
      </c>
      <c r="D27" s="254" t="s">
        <v>378</v>
      </c>
      <c r="E27" s="253">
        <f>IF(LEN(F27)&gt;0,VLOOKUP(F27,'1. Lists'!$T:$U,2,FALSE),"")</f>
        <v>143</v>
      </c>
      <c r="F27" s="264" t="s">
        <v>869</v>
      </c>
      <c r="G27" s="256"/>
      <c r="H27" s="256"/>
      <c r="I27" s="256"/>
      <c r="J27" s="256" t="s">
        <v>876</v>
      </c>
      <c r="K27" s="256" t="s">
        <v>901</v>
      </c>
      <c r="L27" s="257" t="s">
        <v>873</v>
      </c>
      <c r="M27" s="235" t="s">
        <v>874</v>
      </c>
      <c r="N27" s="235" t="s">
        <v>875</v>
      </c>
      <c r="O27" s="256"/>
      <c r="P27" s="258" t="s">
        <v>68</v>
      </c>
      <c r="Q27" s="258" t="s">
        <v>461</v>
      </c>
      <c r="R27" s="259"/>
      <c r="S27" s="260">
        <v>53.269699128656555</v>
      </c>
      <c r="T27" s="260">
        <v>453.55706658637865</v>
      </c>
      <c r="U27" s="260">
        <v>139.56936615204839</v>
      </c>
      <c r="V27" s="260">
        <v>64.895561007455456</v>
      </c>
      <c r="W27" s="260">
        <v>82.146551441457817</v>
      </c>
      <c r="X27" s="260">
        <v>813.77992541562446</v>
      </c>
      <c r="Y27" s="260">
        <v>53.269699128656555</v>
      </c>
      <c r="Z27" s="260">
        <v>410.98852616862268</v>
      </c>
      <c r="AA27" s="260">
        <v>768.70735320858876</v>
      </c>
      <c r="AB27" s="260">
        <v>53.269699128656555</v>
      </c>
      <c r="AC27" s="260">
        <v>53.269699128656555</v>
      </c>
      <c r="AD27" s="260">
        <f>53.2768535051974+6</f>
        <v>59.276853505197401</v>
      </c>
      <c r="AE27" s="261">
        <f t="shared" si="0"/>
        <v>3000</v>
      </c>
      <c r="AF27" s="256">
        <v>3000</v>
      </c>
      <c r="AG27" s="256"/>
      <c r="AH27" s="272">
        <v>0</v>
      </c>
      <c r="AI27" s="272"/>
      <c r="AJ27" s="272">
        <v>0</v>
      </c>
      <c r="AK27" s="272"/>
      <c r="AL27" s="256"/>
      <c r="AM27" s="256"/>
      <c r="AN27" s="256"/>
      <c r="AO27" s="256"/>
      <c r="AR27" s="262">
        <f t="shared" si="1"/>
        <v>1.7756566376218852</v>
      </c>
      <c r="AS27" s="262">
        <f t="shared" si="2"/>
        <v>16.894225523834507</v>
      </c>
      <c r="AT27" s="262">
        <f t="shared" si="3"/>
        <v>21.546537728902788</v>
      </c>
      <c r="AU27" s="262">
        <f t="shared" si="4"/>
        <v>23.709723095817971</v>
      </c>
      <c r="AV27" s="262">
        <f t="shared" si="5"/>
        <v>26.447941477199898</v>
      </c>
      <c r="AW27" s="262">
        <f t="shared" si="6"/>
        <v>53.57393899105405</v>
      </c>
      <c r="AX27" s="262">
        <f t="shared" si="7"/>
        <v>55.349595628675935</v>
      </c>
      <c r="AY27" s="262">
        <f t="shared" si="8"/>
        <v>69.049213167630029</v>
      </c>
      <c r="AZ27" s="262">
        <f t="shared" si="9"/>
        <v>94.672791607916324</v>
      </c>
      <c r="BA27" s="262">
        <f t="shared" si="10"/>
        <v>96.448448245538202</v>
      </c>
      <c r="BB27" s="262">
        <f t="shared" si="11"/>
        <v>98.224104883160081</v>
      </c>
      <c r="BC27" s="262">
        <f t="shared" si="12"/>
        <v>100.19999999999999</v>
      </c>
      <c r="BD27" s="262">
        <f t="shared" si="13"/>
        <v>657.8921769873516</v>
      </c>
    </row>
    <row r="28" spans="1:56" s="253" customFormat="1" ht="30" x14ac:dyDescent="0.25">
      <c r="A28" s="253">
        <f t="shared" si="14"/>
        <v>26</v>
      </c>
      <c r="B28" s="253">
        <f>IF(LEN(D28)&gt;0,VLOOKUP(D28,'[2]1. Lists'!E:J,6,FALSE),"")</f>
        <v>13</v>
      </c>
      <c r="C28" s="253" t="str">
        <f>IF(LEN(D28)&gt;0,VLOOKUP(D28,'[2]1. Lists'!$E$3:$F$52,2,FALSE),"")</f>
        <v>Administration &amp; Community Services</v>
      </c>
      <c r="D28" s="254" t="s">
        <v>372</v>
      </c>
      <c r="E28" s="253">
        <f>IF(LEN(F28)&gt;0,VLOOKUP(F28,'1. Lists'!$T:$U,2,FALSE),"")</f>
        <v>123</v>
      </c>
      <c r="F28" s="255" t="s">
        <v>655</v>
      </c>
      <c r="G28" s="256"/>
      <c r="H28" s="256"/>
      <c r="I28" s="256"/>
      <c r="J28" s="256" t="s">
        <v>902</v>
      </c>
      <c r="K28" s="256" t="s">
        <v>903</v>
      </c>
      <c r="L28" s="257" t="s">
        <v>873</v>
      </c>
      <c r="M28" s="235" t="s">
        <v>874</v>
      </c>
      <c r="N28" s="235" t="s">
        <v>875</v>
      </c>
      <c r="O28" s="256"/>
      <c r="P28" s="258" t="s">
        <v>68</v>
      </c>
      <c r="Q28" s="258" t="s">
        <v>461</v>
      </c>
      <c r="R28" s="259"/>
      <c r="S28" s="260">
        <v>3196.1819477193935</v>
      </c>
      <c r="T28" s="260">
        <v>27213.423995182718</v>
      </c>
      <c r="U28" s="260">
        <v>8374.1619691229043</v>
      </c>
      <c r="V28" s="260">
        <v>3893.7336604473276</v>
      </c>
      <c r="W28" s="260">
        <v>4928.7930864874688</v>
      </c>
      <c r="X28" s="260">
        <v>48826.795524937472</v>
      </c>
      <c r="Y28" s="260">
        <v>3196.1819477193935</v>
      </c>
      <c r="Z28" s="260">
        <v>24659.311570117363</v>
      </c>
      <c r="AA28" s="260">
        <v>46122.441192515325</v>
      </c>
      <c r="AB28" s="260">
        <v>3196.1819477193935</v>
      </c>
      <c r="AC28" s="260">
        <v>3196.1819477193935</v>
      </c>
      <c r="AD28" s="260">
        <f>3196.61121031184+5</f>
        <v>3201.6112103118398</v>
      </c>
      <c r="AE28" s="261">
        <f t="shared" si="0"/>
        <v>180000</v>
      </c>
      <c r="AF28" s="256">
        <v>180000</v>
      </c>
      <c r="AG28" s="256"/>
      <c r="AH28" s="272">
        <v>0</v>
      </c>
      <c r="AI28" s="272"/>
      <c r="AJ28" s="272">
        <v>0</v>
      </c>
      <c r="AK28" s="272"/>
      <c r="AL28" s="256"/>
      <c r="AM28" s="256"/>
      <c r="AN28" s="256"/>
      <c r="AO28" s="256"/>
      <c r="AR28" s="262">
        <f t="shared" si="1"/>
        <v>1.7756566376218852</v>
      </c>
      <c r="AS28" s="262">
        <f t="shared" si="2"/>
        <v>16.894225523834507</v>
      </c>
      <c r="AT28" s="262">
        <f t="shared" si="3"/>
        <v>21.546537728902788</v>
      </c>
      <c r="AU28" s="262">
        <f t="shared" si="4"/>
        <v>23.709723095817971</v>
      </c>
      <c r="AV28" s="262">
        <f t="shared" si="5"/>
        <v>26.447941477199898</v>
      </c>
      <c r="AW28" s="262">
        <f t="shared" si="6"/>
        <v>53.57393899105405</v>
      </c>
      <c r="AX28" s="262">
        <f t="shared" si="7"/>
        <v>55.349595628675935</v>
      </c>
      <c r="AY28" s="262">
        <f t="shared" si="8"/>
        <v>69.049213167630029</v>
      </c>
      <c r="AZ28" s="262">
        <f t="shared" si="9"/>
        <v>94.672791607916324</v>
      </c>
      <c r="BA28" s="262">
        <f t="shared" si="10"/>
        <v>96.448448245538202</v>
      </c>
      <c r="BB28" s="262">
        <f t="shared" si="11"/>
        <v>98.224104883160081</v>
      </c>
      <c r="BC28" s="262">
        <f t="shared" si="12"/>
        <v>100.00277777777777</v>
      </c>
      <c r="BD28" s="262">
        <f t="shared" si="13"/>
        <v>657.69495476512941</v>
      </c>
    </row>
    <row r="29" spans="1:56" s="253" customFormat="1" ht="30" x14ac:dyDescent="0.25">
      <c r="A29" s="253">
        <f t="shared" si="14"/>
        <v>27</v>
      </c>
      <c r="B29" s="253">
        <f>IF(LEN(D29)&gt;0,VLOOKUP(D29,'[2]1. Lists'!E:J,6,FALSE),"")</f>
        <v>13</v>
      </c>
      <c r="C29" s="253" t="str">
        <f>IF(LEN(D29)&gt;0,VLOOKUP(D29,'[2]1. Lists'!$E$3:$F$52,2,FALSE),"")</f>
        <v>Administration &amp; Community Services</v>
      </c>
      <c r="D29" s="254" t="s">
        <v>372</v>
      </c>
      <c r="E29" s="253">
        <f>IF(LEN(F29)&gt;0,VLOOKUP(F29,'1. Lists'!$T:$U,2,FALSE),"")</f>
        <v>123</v>
      </c>
      <c r="F29" s="255" t="s">
        <v>655</v>
      </c>
      <c r="G29" s="256"/>
      <c r="H29" s="256"/>
      <c r="I29" s="256"/>
      <c r="J29" s="256" t="s">
        <v>902</v>
      </c>
      <c r="K29" s="256" t="s">
        <v>904</v>
      </c>
      <c r="L29" s="257" t="s">
        <v>873</v>
      </c>
      <c r="M29" s="235" t="s">
        <v>874</v>
      </c>
      <c r="N29" s="235" t="s">
        <v>875</v>
      </c>
      <c r="O29" s="256"/>
      <c r="P29" s="258" t="s">
        <v>68</v>
      </c>
      <c r="Q29" s="258" t="s">
        <v>461</v>
      </c>
      <c r="R29" s="259"/>
      <c r="S29" s="260">
        <v>6747.4952229631635</v>
      </c>
      <c r="T29" s="260">
        <v>57450.561767607964</v>
      </c>
      <c r="U29" s="260">
        <v>17678.786379259462</v>
      </c>
      <c r="V29" s="260">
        <v>8220.1043942776923</v>
      </c>
      <c r="W29" s="260">
        <v>10405.229849251324</v>
      </c>
      <c r="X29" s="260">
        <v>103078.79055264578</v>
      </c>
      <c r="Y29" s="260">
        <v>6747.4952229631635</v>
      </c>
      <c r="Z29" s="260">
        <v>52058.546648025542</v>
      </c>
      <c r="AA29" s="260">
        <v>97369.598073087909</v>
      </c>
      <c r="AB29" s="260">
        <v>6747.4952229631635</v>
      </c>
      <c r="AC29" s="260">
        <v>6747.4952229631635</v>
      </c>
      <c r="AD29" s="260">
        <f>6748.40144399167+6</f>
        <v>6754.40144399167</v>
      </c>
      <c r="AE29" s="261">
        <f t="shared" si="0"/>
        <v>380000</v>
      </c>
      <c r="AF29" s="256">
        <v>380000</v>
      </c>
      <c r="AG29" s="256"/>
      <c r="AH29" s="272">
        <v>0</v>
      </c>
      <c r="AI29" s="272"/>
      <c r="AJ29" s="272">
        <v>0</v>
      </c>
      <c r="AK29" s="272"/>
      <c r="AL29" s="256"/>
      <c r="AM29" s="256"/>
      <c r="AN29" s="256"/>
      <c r="AO29" s="256"/>
      <c r="AR29" s="262">
        <f t="shared" si="1"/>
        <v>1.7756566376218852</v>
      </c>
      <c r="AS29" s="262">
        <f t="shared" si="2"/>
        <v>16.894225523834507</v>
      </c>
      <c r="AT29" s="262">
        <f t="shared" si="3"/>
        <v>21.546537728902784</v>
      </c>
      <c r="AU29" s="262">
        <f t="shared" si="4"/>
        <v>23.709723095817967</v>
      </c>
      <c r="AV29" s="262">
        <f t="shared" si="5"/>
        <v>26.447941477199894</v>
      </c>
      <c r="AW29" s="262">
        <f t="shared" si="6"/>
        <v>53.573938991054042</v>
      </c>
      <c r="AX29" s="262">
        <f t="shared" si="7"/>
        <v>55.349595628675928</v>
      </c>
      <c r="AY29" s="262">
        <f t="shared" si="8"/>
        <v>69.049213167630015</v>
      </c>
      <c r="AZ29" s="262">
        <f t="shared" si="9"/>
        <v>94.672791607916309</v>
      </c>
      <c r="BA29" s="262">
        <f t="shared" si="10"/>
        <v>96.448448245538188</v>
      </c>
      <c r="BB29" s="262">
        <f t="shared" si="11"/>
        <v>98.224104883160066</v>
      </c>
      <c r="BC29" s="262">
        <f t="shared" si="12"/>
        <v>100.0015789473684</v>
      </c>
      <c r="BD29" s="262">
        <f t="shared" si="13"/>
        <v>657.69375593472</v>
      </c>
    </row>
    <row r="30" spans="1:56" s="253" customFormat="1" ht="30" x14ac:dyDescent="0.25">
      <c r="A30" s="253">
        <f t="shared" si="14"/>
        <v>28</v>
      </c>
      <c r="B30" s="253">
        <f>IF(LEN(D30)&gt;0,VLOOKUP(D30,'[2]1. Lists'!E:J,6,FALSE),"")</f>
        <v>13</v>
      </c>
      <c r="C30" s="253" t="str">
        <f>IF(LEN(D30)&gt;0,VLOOKUP(D30,'[2]1. Lists'!$E$3:$F$52,2,FALSE),"")</f>
        <v>Administration &amp; Community Services</v>
      </c>
      <c r="D30" s="254" t="s">
        <v>372</v>
      </c>
      <c r="E30" s="253">
        <f>IF(LEN(F30)&gt;0,VLOOKUP(F30,'1. Lists'!$T:$U,2,FALSE),"")</f>
        <v>123</v>
      </c>
      <c r="F30" s="255" t="s">
        <v>655</v>
      </c>
      <c r="G30" s="256"/>
      <c r="H30" s="256"/>
      <c r="I30" s="256"/>
      <c r="J30" s="256" t="s">
        <v>902</v>
      </c>
      <c r="K30" s="256" t="s">
        <v>905</v>
      </c>
      <c r="L30" s="257" t="s">
        <v>873</v>
      </c>
      <c r="M30" s="235" t="s">
        <v>874</v>
      </c>
      <c r="N30" s="235" t="s">
        <v>875</v>
      </c>
      <c r="O30" s="256"/>
      <c r="P30" s="258" t="s">
        <v>68</v>
      </c>
      <c r="Q30" s="258" t="s">
        <v>461</v>
      </c>
      <c r="R30" s="259"/>
      <c r="S30" s="260">
        <v>2748.7164750386783</v>
      </c>
      <c r="T30" s="260">
        <v>23403.544635857139</v>
      </c>
      <c r="U30" s="260">
        <v>7201.7792934456975</v>
      </c>
      <c r="V30" s="260">
        <v>3348.6109479847019</v>
      </c>
      <c r="W30" s="260">
        <v>4238.7620543792236</v>
      </c>
      <c r="X30" s="260">
        <v>41991.044151446222</v>
      </c>
      <c r="Y30" s="260">
        <v>2748.7164750386783</v>
      </c>
      <c r="Z30" s="260">
        <v>21207.007950300929</v>
      </c>
      <c r="AA30" s="260">
        <v>39665.299425563178</v>
      </c>
      <c r="AB30" s="260">
        <v>2748.7164750386783</v>
      </c>
      <c r="AC30" s="260">
        <v>2748.7164750386783</v>
      </c>
      <c r="AD30" s="260">
        <f>2749.08564086818+6</f>
        <v>2755.0856408681798</v>
      </c>
      <c r="AE30" s="261">
        <f t="shared" si="0"/>
        <v>154800</v>
      </c>
      <c r="AF30" s="256">
        <v>154800</v>
      </c>
      <c r="AG30" s="256"/>
      <c r="AH30" s="272">
        <v>0</v>
      </c>
      <c r="AI30" s="272"/>
      <c r="AJ30" s="272">
        <v>0</v>
      </c>
      <c r="AK30" s="272"/>
      <c r="AL30" s="256"/>
      <c r="AM30" s="256"/>
      <c r="AN30" s="256"/>
      <c r="AO30" s="256"/>
      <c r="AR30" s="262">
        <f t="shared" si="1"/>
        <v>1.7756566376218852</v>
      </c>
      <c r="AS30" s="262">
        <f t="shared" si="2"/>
        <v>16.894225523834507</v>
      </c>
      <c r="AT30" s="262">
        <f t="shared" si="3"/>
        <v>21.546537728902788</v>
      </c>
      <c r="AU30" s="262">
        <f t="shared" si="4"/>
        <v>23.709723095817971</v>
      </c>
      <c r="AV30" s="262">
        <f t="shared" si="5"/>
        <v>26.447941477199898</v>
      </c>
      <c r="AW30" s="262">
        <f t="shared" si="6"/>
        <v>53.57393899105405</v>
      </c>
      <c r="AX30" s="262">
        <f t="shared" si="7"/>
        <v>55.349595628675935</v>
      </c>
      <c r="AY30" s="262">
        <f t="shared" si="8"/>
        <v>69.049213167630029</v>
      </c>
      <c r="AZ30" s="262">
        <f t="shared" si="9"/>
        <v>94.672791607916324</v>
      </c>
      <c r="BA30" s="262">
        <f t="shared" si="10"/>
        <v>96.448448245538202</v>
      </c>
      <c r="BB30" s="262">
        <f t="shared" si="11"/>
        <v>98.224104883160081</v>
      </c>
      <c r="BC30" s="262">
        <f t="shared" si="12"/>
        <v>100.00387596899223</v>
      </c>
      <c r="BD30" s="262">
        <f t="shared" si="13"/>
        <v>657.69605295634392</v>
      </c>
    </row>
    <row r="31" spans="1:56" s="253" customFormat="1" ht="30" x14ac:dyDescent="0.25">
      <c r="A31" s="253">
        <f t="shared" si="14"/>
        <v>29</v>
      </c>
      <c r="B31" s="253">
        <f>IF(LEN(D31)&gt;0,VLOOKUP(D31,'[2]1. Lists'!E:J,6,FALSE),"")</f>
        <v>13</v>
      </c>
      <c r="C31" s="253" t="str">
        <f>IF(LEN(D31)&gt;0,VLOOKUP(D31,'[2]1. Lists'!$E$3:$F$52,2,FALSE),"")</f>
        <v>Administration &amp; Community Services</v>
      </c>
      <c r="D31" s="254" t="s">
        <v>372</v>
      </c>
      <c r="E31" s="253">
        <f>IF(LEN(F31)&gt;0,VLOOKUP(F31,'1. Lists'!$T:$U,2,FALSE),"")</f>
        <v>123</v>
      </c>
      <c r="F31" s="255" t="s">
        <v>655</v>
      </c>
      <c r="G31" s="256"/>
      <c r="H31" s="256"/>
      <c r="I31" s="256"/>
      <c r="J31" s="256" t="s">
        <v>883</v>
      </c>
      <c r="K31" s="256" t="s">
        <v>906</v>
      </c>
      <c r="L31" s="257" t="s">
        <v>873</v>
      </c>
      <c r="M31" s="235" t="s">
        <v>874</v>
      </c>
      <c r="N31" s="235" t="s">
        <v>875</v>
      </c>
      <c r="O31" s="256"/>
      <c r="P31" s="258" t="s">
        <v>68</v>
      </c>
      <c r="Q31" s="258" t="s">
        <v>461</v>
      </c>
      <c r="R31" s="259"/>
      <c r="S31" s="260">
        <v>301.86162839572052</v>
      </c>
      <c r="T31" s="260">
        <v>2570.1567106561456</v>
      </c>
      <c r="U31" s="260">
        <v>790.8930748616076</v>
      </c>
      <c r="V31" s="260">
        <v>367.74151237558095</v>
      </c>
      <c r="W31" s="260">
        <v>465.49712483492766</v>
      </c>
      <c r="X31" s="260">
        <v>4611.4195773552055</v>
      </c>
      <c r="Y31" s="260">
        <v>301.86162839572052</v>
      </c>
      <c r="Z31" s="260">
        <v>2328.9349816221952</v>
      </c>
      <c r="AA31" s="260">
        <v>4356.0083348486696</v>
      </c>
      <c r="AB31" s="260">
        <v>301.86162839572052</v>
      </c>
      <c r="AC31" s="260">
        <v>301.86162839572052</v>
      </c>
      <c r="AD31" s="260">
        <f>301.902169862785+8</f>
        <v>309.902169862785</v>
      </c>
      <c r="AE31" s="261">
        <f t="shared" si="0"/>
        <v>17000</v>
      </c>
      <c r="AF31" s="256">
        <v>17000</v>
      </c>
      <c r="AG31" s="256"/>
      <c r="AH31" s="272">
        <v>0</v>
      </c>
      <c r="AI31" s="272"/>
      <c r="AJ31" s="272">
        <v>0</v>
      </c>
      <c r="AK31" s="272"/>
      <c r="AL31" s="256"/>
      <c r="AM31" s="256"/>
      <c r="AN31" s="256"/>
      <c r="AO31" s="256"/>
      <c r="AR31" s="262">
        <f t="shared" si="1"/>
        <v>1.7756566376218852</v>
      </c>
      <c r="AS31" s="262">
        <f t="shared" si="2"/>
        <v>16.894225523834507</v>
      </c>
      <c r="AT31" s="262">
        <f t="shared" si="3"/>
        <v>21.546537728902788</v>
      </c>
      <c r="AU31" s="262">
        <f t="shared" si="4"/>
        <v>23.709723095817971</v>
      </c>
      <c r="AV31" s="262">
        <f t="shared" si="5"/>
        <v>26.447941477199898</v>
      </c>
      <c r="AW31" s="262">
        <f t="shared" si="6"/>
        <v>53.57393899105405</v>
      </c>
      <c r="AX31" s="262">
        <f t="shared" si="7"/>
        <v>55.349595628675935</v>
      </c>
      <c r="AY31" s="262">
        <f t="shared" si="8"/>
        <v>69.049213167630029</v>
      </c>
      <c r="AZ31" s="262">
        <f t="shared" si="9"/>
        <v>94.672791607916324</v>
      </c>
      <c r="BA31" s="262">
        <f t="shared" si="10"/>
        <v>96.448448245538202</v>
      </c>
      <c r="BB31" s="262">
        <f t="shared" si="11"/>
        <v>98.224104883160081</v>
      </c>
      <c r="BC31" s="262">
        <f t="shared" si="12"/>
        <v>100.0470588235294</v>
      </c>
      <c r="BD31" s="262">
        <f t="shared" si="13"/>
        <v>657.73923581088104</v>
      </c>
    </row>
    <row r="32" spans="1:56" s="253" customFormat="1" ht="30" x14ac:dyDescent="0.25">
      <c r="A32" s="253">
        <f t="shared" si="14"/>
        <v>30</v>
      </c>
      <c r="B32" s="253">
        <f>IF(LEN(D32)&gt;0,VLOOKUP(D32,'[2]1. Lists'!E:J,6,FALSE),"")</f>
        <v>13</v>
      </c>
      <c r="C32" s="253" t="str">
        <f>IF(LEN(D32)&gt;0,VLOOKUP(D32,'[2]1. Lists'!$E$3:$F$52,2,FALSE),"")</f>
        <v>Administration &amp; Community Services</v>
      </c>
      <c r="D32" s="254" t="s">
        <v>372</v>
      </c>
      <c r="E32" s="253">
        <f>IF(LEN(F32)&gt;0,VLOOKUP(F32,'1. Lists'!$T:$U,2,FALSE),"")</f>
        <v>123</v>
      </c>
      <c r="F32" s="255" t="s">
        <v>655</v>
      </c>
      <c r="G32" s="256"/>
      <c r="H32" s="256"/>
      <c r="I32" s="256"/>
      <c r="J32" s="256" t="s">
        <v>883</v>
      </c>
      <c r="K32" s="256" t="s">
        <v>907</v>
      </c>
      <c r="L32" s="257" t="s">
        <v>873</v>
      </c>
      <c r="M32" s="235" t="s">
        <v>874</v>
      </c>
      <c r="N32" s="235" t="s">
        <v>875</v>
      </c>
      <c r="O32" s="256"/>
      <c r="P32" s="258" t="s">
        <v>68</v>
      </c>
      <c r="Q32" s="258" t="s">
        <v>461</v>
      </c>
      <c r="R32" s="259"/>
      <c r="S32" s="260">
        <v>497.18385853412786</v>
      </c>
      <c r="T32" s="260">
        <v>4233.1992881395345</v>
      </c>
      <c r="U32" s="260">
        <v>1302.6474174191183</v>
      </c>
      <c r="V32" s="260">
        <v>605.691902736251</v>
      </c>
      <c r="W32" s="260">
        <v>766.7011467869396</v>
      </c>
      <c r="X32" s="260">
        <v>7595.2793038791624</v>
      </c>
      <c r="Y32" s="260">
        <v>497.18385853412786</v>
      </c>
      <c r="Z32" s="260">
        <v>3835.8929109071451</v>
      </c>
      <c r="AA32" s="260">
        <v>7174.6019632801617</v>
      </c>
      <c r="AB32" s="260">
        <v>497.18385853412786</v>
      </c>
      <c r="AC32" s="260">
        <v>497.18385853412786</v>
      </c>
      <c r="AD32" s="260">
        <f>497.250632715175+5</f>
        <v>502.25063271517502</v>
      </c>
      <c r="AE32" s="261">
        <f t="shared" si="0"/>
        <v>28000</v>
      </c>
      <c r="AF32" s="256">
        <v>28000</v>
      </c>
      <c r="AG32" s="256"/>
      <c r="AH32" s="272">
        <v>0</v>
      </c>
      <c r="AI32" s="272"/>
      <c r="AJ32" s="272">
        <v>0</v>
      </c>
      <c r="AK32" s="272"/>
      <c r="AL32" s="256"/>
      <c r="AM32" s="256"/>
      <c r="AN32" s="256"/>
      <c r="AO32" s="256"/>
      <c r="AR32" s="262">
        <f t="shared" si="1"/>
        <v>1.7756566376218852</v>
      </c>
      <c r="AS32" s="262">
        <f t="shared" si="2"/>
        <v>16.89422552383451</v>
      </c>
      <c r="AT32" s="262">
        <f t="shared" si="3"/>
        <v>21.546537728902791</v>
      </c>
      <c r="AU32" s="262">
        <f t="shared" si="4"/>
        <v>23.709723095817974</v>
      </c>
      <c r="AV32" s="262">
        <f t="shared" si="5"/>
        <v>26.447941477199901</v>
      </c>
      <c r="AW32" s="262">
        <f t="shared" si="6"/>
        <v>53.57393899105405</v>
      </c>
      <c r="AX32" s="262">
        <f t="shared" si="7"/>
        <v>55.349595628675935</v>
      </c>
      <c r="AY32" s="262">
        <f t="shared" si="8"/>
        <v>69.049213167630029</v>
      </c>
      <c r="AZ32" s="262">
        <f t="shared" si="9"/>
        <v>94.672791607916324</v>
      </c>
      <c r="BA32" s="262">
        <f t="shared" si="10"/>
        <v>96.448448245538202</v>
      </c>
      <c r="BB32" s="262">
        <f t="shared" si="11"/>
        <v>98.224104883160081</v>
      </c>
      <c r="BC32" s="262">
        <f t="shared" si="12"/>
        <v>100.01785714285714</v>
      </c>
      <c r="BD32" s="262">
        <f t="shared" si="13"/>
        <v>657.71003413020878</v>
      </c>
    </row>
    <row r="33" spans="1:56" s="253" customFormat="1" ht="30" x14ac:dyDescent="0.25">
      <c r="A33" s="253">
        <f t="shared" si="14"/>
        <v>31</v>
      </c>
      <c r="B33" s="253">
        <f>IF(LEN(D33)&gt;0,VLOOKUP(D33,'[2]1. Lists'!E:J,6,FALSE),"")</f>
        <v>13</v>
      </c>
      <c r="C33" s="253" t="str">
        <f>IF(LEN(D33)&gt;0,VLOOKUP(D33,'[2]1. Lists'!$E$3:$F$52,2,FALSE),"")</f>
        <v>Administration &amp; Community Services</v>
      </c>
      <c r="D33" s="254" t="s">
        <v>372</v>
      </c>
      <c r="E33" s="253">
        <f>IF(LEN(F33)&gt;0,VLOOKUP(F33,'1. Lists'!$T:$U,2,FALSE),"")</f>
        <v>123</v>
      </c>
      <c r="F33" s="255" t="s">
        <v>655</v>
      </c>
      <c r="G33" s="256"/>
      <c r="H33" s="256"/>
      <c r="I33" s="256"/>
      <c r="J33" s="256" t="s">
        <v>883</v>
      </c>
      <c r="K33" s="256" t="s">
        <v>908</v>
      </c>
      <c r="L33" s="257" t="s">
        <v>873</v>
      </c>
      <c r="M33" s="235" t="s">
        <v>874</v>
      </c>
      <c r="N33" s="235" t="s">
        <v>875</v>
      </c>
      <c r="O33" s="256"/>
      <c r="P33" s="258" t="s">
        <v>68</v>
      </c>
      <c r="Q33" s="258" t="s">
        <v>461</v>
      </c>
      <c r="R33" s="259"/>
      <c r="S33" s="260">
        <v>497.18385853412786</v>
      </c>
      <c r="T33" s="260">
        <v>4233.1992881395345</v>
      </c>
      <c r="U33" s="260">
        <v>1302.6474174191183</v>
      </c>
      <c r="V33" s="260">
        <v>605.691902736251</v>
      </c>
      <c r="W33" s="260">
        <v>766.7011467869396</v>
      </c>
      <c r="X33" s="260">
        <v>7595.2793038791624</v>
      </c>
      <c r="Y33" s="260">
        <v>497.18385853412786</v>
      </c>
      <c r="Z33" s="260">
        <v>3835.8929109071451</v>
      </c>
      <c r="AA33" s="260">
        <v>7174.6019632801617</v>
      </c>
      <c r="AB33" s="260">
        <v>497.18385853412786</v>
      </c>
      <c r="AC33" s="260">
        <v>497.18385853412786</v>
      </c>
      <c r="AD33" s="260">
        <f>497.250632715175+5</f>
        <v>502.25063271517502</v>
      </c>
      <c r="AE33" s="261">
        <f t="shared" si="0"/>
        <v>28000</v>
      </c>
      <c r="AF33" s="256">
        <v>28000</v>
      </c>
      <c r="AG33" s="256"/>
      <c r="AH33" s="272">
        <v>0</v>
      </c>
      <c r="AI33" s="272"/>
      <c r="AJ33" s="272">
        <v>0</v>
      </c>
      <c r="AK33" s="272"/>
      <c r="AL33" s="256"/>
      <c r="AM33" s="256"/>
      <c r="AN33" s="256"/>
      <c r="AO33" s="256"/>
      <c r="AR33" s="262">
        <f t="shared" si="1"/>
        <v>1.7756566376218852</v>
      </c>
      <c r="AS33" s="262">
        <f t="shared" si="2"/>
        <v>16.89422552383451</v>
      </c>
      <c r="AT33" s="262">
        <f t="shared" si="3"/>
        <v>21.546537728902791</v>
      </c>
      <c r="AU33" s="262">
        <f t="shared" si="4"/>
        <v>23.709723095817974</v>
      </c>
      <c r="AV33" s="262">
        <f t="shared" si="5"/>
        <v>26.447941477199901</v>
      </c>
      <c r="AW33" s="262">
        <f t="shared" si="6"/>
        <v>53.57393899105405</v>
      </c>
      <c r="AX33" s="262">
        <f t="shared" si="7"/>
        <v>55.349595628675935</v>
      </c>
      <c r="AY33" s="262">
        <f t="shared" si="8"/>
        <v>69.049213167630029</v>
      </c>
      <c r="AZ33" s="262">
        <f t="shared" si="9"/>
        <v>94.672791607916324</v>
      </c>
      <c r="BA33" s="262">
        <f t="shared" si="10"/>
        <v>96.448448245538202</v>
      </c>
      <c r="BB33" s="262">
        <f t="shared" si="11"/>
        <v>98.224104883160081</v>
      </c>
      <c r="BC33" s="262">
        <f t="shared" si="12"/>
        <v>100.01785714285714</v>
      </c>
      <c r="BD33" s="262">
        <f t="shared" si="13"/>
        <v>657.71003413020878</v>
      </c>
    </row>
    <row r="34" spans="1:56" s="253" customFormat="1" ht="30" x14ac:dyDescent="0.25">
      <c r="A34" s="253">
        <f t="shared" si="14"/>
        <v>32</v>
      </c>
      <c r="B34" s="253">
        <f>IF(LEN(D34)&gt;0,VLOOKUP(D34,'[2]1. Lists'!E:J,6,FALSE),"")</f>
        <v>13</v>
      </c>
      <c r="C34" s="253" t="str">
        <f>IF(LEN(D34)&gt;0,VLOOKUP(D34,'[2]1. Lists'!$E$3:$F$52,2,FALSE),"")</f>
        <v>Administration &amp; Community Services</v>
      </c>
      <c r="D34" s="254" t="s">
        <v>372</v>
      </c>
      <c r="E34" s="253">
        <f>IF(LEN(F34)&gt;0,VLOOKUP(F34,'1. Lists'!$T:$U,2,FALSE),"")</f>
        <v>123</v>
      </c>
      <c r="F34" s="255" t="s">
        <v>655</v>
      </c>
      <c r="G34" s="256"/>
      <c r="H34" s="256"/>
      <c r="I34" s="256"/>
      <c r="J34" s="256" t="s">
        <v>909</v>
      </c>
      <c r="K34" s="256" t="s">
        <v>910</v>
      </c>
      <c r="L34" s="257" t="s">
        <v>873</v>
      </c>
      <c r="M34" s="235" t="s">
        <v>874</v>
      </c>
      <c r="N34" s="235" t="s">
        <v>875</v>
      </c>
      <c r="O34" s="256"/>
      <c r="P34" s="258" t="s">
        <v>68</v>
      </c>
      <c r="Q34" s="258" t="s">
        <v>461</v>
      </c>
      <c r="R34" s="259"/>
      <c r="S34" s="260">
        <v>10653.939825731311</v>
      </c>
      <c r="T34" s="260">
        <v>90711.413317275728</v>
      </c>
      <c r="U34" s="260">
        <v>27913.873230409677</v>
      </c>
      <c r="V34" s="260">
        <v>12979.112201491092</v>
      </c>
      <c r="W34" s="260">
        <v>16429.310288291563</v>
      </c>
      <c r="X34" s="260">
        <v>162755.98508312489</v>
      </c>
      <c r="Y34" s="260">
        <v>10653.939825731311</v>
      </c>
      <c r="Z34" s="260">
        <v>82197.70523372454</v>
      </c>
      <c r="AA34" s="260">
        <v>153741.47064171775</v>
      </c>
      <c r="AB34" s="260">
        <v>10653.939825731311</v>
      </c>
      <c r="AC34" s="260">
        <v>10653.939825731311</v>
      </c>
      <c r="AD34" s="260">
        <f>10655.3707010395+8</f>
        <v>10663.370701039499</v>
      </c>
      <c r="AE34" s="261">
        <f t="shared" si="0"/>
        <v>600000</v>
      </c>
      <c r="AF34" s="256">
        <v>600000</v>
      </c>
      <c r="AG34" s="256"/>
      <c r="AH34" s="272">
        <v>1000000</v>
      </c>
      <c r="AI34" s="272"/>
      <c r="AJ34" s="272">
        <v>1000000</v>
      </c>
      <c r="AK34" s="272"/>
      <c r="AL34" s="256"/>
      <c r="AM34" s="256"/>
      <c r="AN34" s="256"/>
      <c r="AO34" s="256"/>
      <c r="AR34" s="262">
        <f t="shared" si="1"/>
        <v>1.7756566376218852</v>
      </c>
      <c r="AS34" s="262">
        <f t="shared" si="2"/>
        <v>16.894225523834507</v>
      </c>
      <c r="AT34" s="262">
        <f t="shared" si="3"/>
        <v>21.546537728902788</v>
      </c>
      <c r="AU34" s="262">
        <f t="shared" si="4"/>
        <v>23.709723095817971</v>
      </c>
      <c r="AV34" s="262">
        <f t="shared" si="5"/>
        <v>26.447941477199898</v>
      </c>
      <c r="AW34" s="262">
        <f t="shared" si="6"/>
        <v>53.57393899105405</v>
      </c>
      <c r="AX34" s="262">
        <f t="shared" si="7"/>
        <v>55.349595628675935</v>
      </c>
      <c r="AY34" s="262">
        <f t="shared" si="8"/>
        <v>69.049213167630029</v>
      </c>
      <c r="AZ34" s="262">
        <f t="shared" si="9"/>
        <v>94.672791607916324</v>
      </c>
      <c r="BA34" s="262">
        <f t="shared" si="10"/>
        <v>96.448448245538202</v>
      </c>
      <c r="BB34" s="262">
        <f t="shared" si="11"/>
        <v>98.224104883160081</v>
      </c>
      <c r="BC34" s="262">
        <f t="shared" si="12"/>
        <v>100.00133333333333</v>
      </c>
      <c r="BD34" s="262">
        <f t="shared" si="13"/>
        <v>657.69351032068505</v>
      </c>
    </row>
    <row r="35" spans="1:56" s="253" customFormat="1" ht="30" x14ac:dyDescent="0.25">
      <c r="A35" s="253">
        <f t="shared" si="14"/>
        <v>33</v>
      </c>
      <c r="B35" s="253">
        <f>IF(LEN(D35)&gt;0,VLOOKUP(D35,'[2]1. Lists'!E:J,6,FALSE),"")</f>
        <v>13</v>
      </c>
      <c r="C35" s="253" t="str">
        <f>IF(LEN(D35)&gt;0,VLOOKUP(D35,'[2]1. Lists'!$E$3:$F$52,2,FALSE),"")</f>
        <v>Administration &amp; Community Services</v>
      </c>
      <c r="D35" s="254" t="s">
        <v>372</v>
      </c>
      <c r="E35" s="253">
        <f>IF(LEN(F35)&gt;0,VLOOKUP(F35,'1. Lists'!$T:$U,2,FALSE),"")</f>
        <v>123</v>
      </c>
      <c r="F35" s="255" t="s">
        <v>655</v>
      </c>
      <c r="G35" s="256"/>
      <c r="H35" s="256"/>
      <c r="I35" s="256"/>
      <c r="J35" s="256" t="s">
        <v>909</v>
      </c>
      <c r="K35" s="256" t="s">
        <v>911</v>
      </c>
      <c r="L35" s="257" t="s">
        <v>873</v>
      </c>
      <c r="M35" s="235" t="s">
        <v>874</v>
      </c>
      <c r="N35" s="235" t="s">
        <v>875</v>
      </c>
      <c r="O35" s="256"/>
      <c r="P35" s="258" t="s">
        <v>68</v>
      </c>
      <c r="Q35" s="258" t="s">
        <v>461</v>
      </c>
      <c r="R35" s="259"/>
      <c r="S35" s="260">
        <v>443.91415940547131</v>
      </c>
      <c r="T35" s="260">
        <v>3779.6422215531552</v>
      </c>
      <c r="U35" s="260">
        <v>1163.0780512670699</v>
      </c>
      <c r="V35" s="260">
        <v>540.79634172879548</v>
      </c>
      <c r="W35" s="260">
        <v>684.55459534548186</v>
      </c>
      <c r="X35" s="260">
        <v>6781.4993784635371</v>
      </c>
      <c r="Y35" s="260">
        <v>443.91415940547131</v>
      </c>
      <c r="Z35" s="260">
        <v>3424.9043847385224</v>
      </c>
      <c r="AA35" s="260">
        <v>6405.894610071573</v>
      </c>
      <c r="AB35" s="260">
        <v>443.91415940547131</v>
      </c>
      <c r="AC35" s="260">
        <v>443.91415940547131</v>
      </c>
      <c r="AD35" s="260">
        <f>443.973779209978+9</f>
        <v>452.97377920997798</v>
      </c>
      <c r="AE35" s="261">
        <f t="shared" si="0"/>
        <v>25000</v>
      </c>
      <c r="AF35" s="256">
        <v>25000</v>
      </c>
      <c r="AG35" s="256"/>
      <c r="AH35" s="272">
        <v>0</v>
      </c>
      <c r="AI35" s="272"/>
      <c r="AJ35" s="272">
        <v>0</v>
      </c>
      <c r="AK35" s="272"/>
      <c r="AL35" s="256"/>
      <c r="AM35" s="256"/>
      <c r="AN35" s="256"/>
      <c r="AO35" s="256"/>
      <c r="AR35" s="262">
        <f t="shared" si="1"/>
        <v>1.7756566376218852</v>
      </c>
      <c r="AS35" s="262">
        <f t="shared" si="2"/>
        <v>16.894225523834507</v>
      </c>
      <c r="AT35" s="262">
        <f t="shared" si="3"/>
        <v>21.546537728902788</v>
      </c>
      <c r="AU35" s="262">
        <f t="shared" si="4"/>
        <v>23.709723095817971</v>
      </c>
      <c r="AV35" s="262">
        <f t="shared" si="5"/>
        <v>26.447941477199898</v>
      </c>
      <c r="AW35" s="262">
        <f t="shared" si="6"/>
        <v>53.57393899105405</v>
      </c>
      <c r="AX35" s="262">
        <f t="shared" si="7"/>
        <v>55.349595628675935</v>
      </c>
      <c r="AY35" s="262">
        <f t="shared" si="8"/>
        <v>69.049213167630029</v>
      </c>
      <c r="AZ35" s="262">
        <f t="shared" si="9"/>
        <v>94.672791607916324</v>
      </c>
      <c r="BA35" s="262">
        <f t="shared" si="10"/>
        <v>96.448448245538202</v>
      </c>
      <c r="BB35" s="262">
        <f t="shared" si="11"/>
        <v>98.224104883160081</v>
      </c>
      <c r="BC35" s="262">
        <f t="shared" si="12"/>
        <v>100.03599999999999</v>
      </c>
      <c r="BD35" s="262">
        <f t="shared" si="13"/>
        <v>657.72817698735162</v>
      </c>
    </row>
    <row r="36" spans="1:56" s="253" customFormat="1" ht="30" x14ac:dyDescent="0.25">
      <c r="A36" s="253">
        <f t="shared" si="14"/>
        <v>34</v>
      </c>
      <c r="B36" s="253">
        <f>IF(LEN(D36)&gt;0,VLOOKUP(D36,'[2]1. Lists'!E:J,6,FALSE),"")</f>
        <v>13</v>
      </c>
      <c r="C36" s="253" t="str">
        <f>IF(LEN(D36)&gt;0,VLOOKUP(D36,'[2]1. Lists'!$E$3:$F$52,2,FALSE),"")</f>
        <v>Administration &amp; Community Services</v>
      </c>
      <c r="D36" s="254" t="s">
        <v>372</v>
      </c>
      <c r="E36" s="253">
        <f>IF(LEN(F36)&gt;0,VLOOKUP(F36,'1. Lists'!$T:$U,2,FALSE),"")</f>
        <v>123</v>
      </c>
      <c r="F36" s="255" t="s">
        <v>655</v>
      </c>
      <c r="G36" s="256"/>
      <c r="H36" s="256"/>
      <c r="I36" s="256"/>
      <c r="J36" s="256" t="s">
        <v>883</v>
      </c>
      <c r="K36" s="256" t="s">
        <v>912</v>
      </c>
      <c r="L36" s="257" t="s">
        <v>873</v>
      </c>
      <c r="M36" s="235" t="s">
        <v>874</v>
      </c>
      <c r="N36" s="235" t="s">
        <v>875</v>
      </c>
      <c r="O36" s="256"/>
      <c r="P36" s="258" t="s">
        <v>68</v>
      </c>
      <c r="Q36" s="258" t="s">
        <v>461</v>
      </c>
      <c r="R36" s="259"/>
      <c r="S36" s="260">
        <v>1775.6566376218852</v>
      </c>
      <c r="T36" s="260">
        <v>15118.568886212621</v>
      </c>
      <c r="U36" s="260">
        <v>4652.3122050682796</v>
      </c>
      <c r="V36" s="260">
        <v>2163.1853669151819</v>
      </c>
      <c r="W36" s="260">
        <v>2738.2183813819274</v>
      </c>
      <c r="X36" s="260">
        <v>27125.997513854149</v>
      </c>
      <c r="Y36" s="260">
        <v>1775.6566376218852</v>
      </c>
      <c r="Z36" s="260">
        <v>13699.617538954089</v>
      </c>
      <c r="AA36" s="260">
        <v>25623.578440286292</v>
      </c>
      <c r="AB36" s="260">
        <v>1775.6566376218852</v>
      </c>
      <c r="AC36" s="260">
        <v>1775.6566376218852</v>
      </c>
      <c r="AD36" s="260">
        <f>1775.89511683991+7</f>
        <v>1782.8951168399101</v>
      </c>
      <c r="AE36" s="261">
        <f t="shared" si="0"/>
        <v>100000</v>
      </c>
      <c r="AF36" s="256">
        <v>100000</v>
      </c>
      <c r="AG36" s="256"/>
      <c r="AH36" s="272">
        <v>100000</v>
      </c>
      <c r="AI36" s="272"/>
      <c r="AJ36" s="272">
        <v>100000</v>
      </c>
      <c r="AK36" s="272"/>
      <c r="AL36" s="256"/>
      <c r="AM36" s="256"/>
      <c r="AN36" s="256"/>
      <c r="AO36" s="256"/>
      <c r="AR36" s="262">
        <f t="shared" si="1"/>
        <v>1.7756566376218852</v>
      </c>
      <c r="AS36" s="262">
        <f t="shared" si="2"/>
        <v>16.894225523834507</v>
      </c>
      <c r="AT36" s="262">
        <f t="shared" si="3"/>
        <v>21.546537728902788</v>
      </c>
      <c r="AU36" s="262">
        <f t="shared" si="4"/>
        <v>23.709723095817971</v>
      </c>
      <c r="AV36" s="262">
        <f t="shared" si="5"/>
        <v>26.447941477199898</v>
      </c>
      <c r="AW36" s="262">
        <f t="shared" si="6"/>
        <v>53.57393899105405</v>
      </c>
      <c r="AX36" s="262">
        <f t="shared" si="7"/>
        <v>55.349595628675935</v>
      </c>
      <c r="AY36" s="262">
        <f t="shared" si="8"/>
        <v>69.049213167630029</v>
      </c>
      <c r="AZ36" s="262">
        <f t="shared" si="9"/>
        <v>94.672791607916324</v>
      </c>
      <c r="BA36" s="262">
        <f t="shared" si="10"/>
        <v>96.448448245538202</v>
      </c>
      <c r="BB36" s="262">
        <f t="shared" si="11"/>
        <v>98.224104883160081</v>
      </c>
      <c r="BC36" s="262">
        <f t="shared" si="12"/>
        <v>100.00699999999999</v>
      </c>
      <c r="BD36" s="262">
        <f t="shared" si="13"/>
        <v>657.69917698735162</v>
      </c>
    </row>
    <row r="37" spans="1:56" s="253" customFormat="1" ht="30" x14ac:dyDescent="0.25">
      <c r="A37" s="253">
        <f t="shared" si="14"/>
        <v>35</v>
      </c>
      <c r="B37" s="253">
        <f>IF(LEN(D37)&gt;0,VLOOKUP(D37,'[2]1. Lists'!E:J,6,FALSE),"")</f>
        <v>15</v>
      </c>
      <c r="C37" s="253" t="str">
        <f>IF(LEN(D37)&gt;0,VLOOKUP(D37,'[2]1. Lists'!$E$3:$F$52,2,FALSE),"")</f>
        <v>Administration &amp; Community Services</v>
      </c>
      <c r="D37" s="263" t="s">
        <v>249</v>
      </c>
      <c r="E37" s="253">
        <f>IF(LEN(F37)&gt;0,VLOOKUP(F37,'1. Lists'!$T:$U,2,FALSE),"")</f>
        <v>119</v>
      </c>
      <c r="F37" s="255" t="s">
        <v>868</v>
      </c>
      <c r="G37" s="256"/>
      <c r="H37" s="256"/>
      <c r="I37" s="256"/>
      <c r="J37" s="256" t="s">
        <v>880</v>
      </c>
      <c r="K37" s="256" t="s">
        <v>913</v>
      </c>
      <c r="L37" s="257" t="s">
        <v>873</v>
      </c>
      <c r="M37" s="235" t="s">
        <v>874</v>
      </c>
      <c r="N37" s="235" t="s">
        <v>875</v>
      </c>
      <c r="O37" s="256"/>
      <c r="P37" s="258" t="s">
        <v>68</v>
      </c>
      <c r="Q37" s="258" t="s">
        <v>461</v>
      </c>
      <c r="R37" s="259"/>
      <c r="S37" s="260">
        <v>26.634849564328277</v>
      </c>
      <c r="T37" s="260">
        <v>226.77853329318933</v>
      </c>
      <c r="U37" s="260">
        <v>69.784683076024194</v>
      </c>
      <c r="V37" s="260">
        <v>32.447780503727728</v>
      </c>
      <c r="W37" s="260">
        <v>41.073275720728908</v>
      </c>
      <c r="X37" s="260">
        <v>406.88996270781223</v>
      </c>
      <c r="Y37" s="260">
        <v>26.634849564328277</v>
      </c>
      <c r="Z37" s="260">
        <v>205.49426308431134</v>
      </c>
      <c r="AA37" s="260">
        <v>384.35367660429438</v>
      </c>
      <c r="AB37" s="260">
        <v>26.634849564328277</v>
      </c>
      <c r="AC37" s="260">
        <v>26.634849564328277</v>
      </c>
      <c r="AD37" s="260">
        <f>26.6384267525987+7</f>
        <v>33.638426752598704</v>
      </c>
      <c r="AE37" s="261">
        <f t="shared" si="0"/>
        <v>1500</v>
      </c>
      <c r="AF37" s="256">
        <v>1500</v>
      </c>
      <c r="AG37" s="256"/>
      <c r="AH37" s="272">
        <v>0</v>
      </c>
      <c r="AI37" s="272"/>
      <c r="AJ37" s="272">
        <v>0</v>
      </c>
      <c r="AK37" s="272"/>
      <c r="AL37" s="256"/>
      <c r="AM37" s="256"/>
      <c r="AN37" s="256"/>
      <c r="AO37" s="256"/>
      <c r="AR37" s="262">
        <f t="shared" si="1"/>
        <v>1.7756566376218852</v>
      </c>
      <c r="AS37" s="262">
        <f t="shared" si="2"/>
        <v>16.894225523834507</v>
      </c>
      <c r="AT37" s="262">
        <f t="shared" si="3"/>
        <v>21.546537728902788</v>
      </c>
      <c r="AU37" s="262">
        <f t="shared" si="4"/>
        <v>23.709723095817971</v>
      </c>
      <c r="AV37" s="262">
        <f t="shared" si="5"/>
        <v>26.447941477199898</v>
      </c>
      <c r="AW37" s="262">
        <f t="shared" si="6"/>
        <v>53.57393899105405</v>
      </c>
      <c r="AX37" s="262">
        <f t="shared" si="7"/>
        <v>55.349595628675935</v>
      </c>
      <c r="AY37" s="262">
        <f t="shared" si="8"/>
        <v>69.049213167630029</v>
      </c>
      <c r="AZ37" s="262">
        <f t="shared" si="9"/>
        <v>94.672791607916324</v>
      </c>
      <c r="BA37" s="262">
        <f t="shared" si="10"/>
        <v>96.448448245538202</v>
      </c>
      <c r="BB37" s="262">
        <f t="shared" si="11"/>
        <v>98.224104883160081</v>
      </c>
      <c r="BC37" s="262">
        <f t="shared" si="12"/>
        <v>100.46666666666665</v>
      </c>
      <c r="BD37" s="262">
        <f t="shared" si="13"/>
        <v>658.15884365401837</v>
      </c>
    </row>
    <row r="38" spans="1:56" s="253" customFormat="1" ht="30" x14ac:dyDescent="0.25">
      <c r="A38" s="253">
        <f t="shared" si="14"/>
        <v>36</v>
      </c>
      <c r="B38" s="253">
        <f>IF(LEN(D38)&gt;0,VLOOKUP(D38,'[2]1. Lists'!E:J,6,FALSE),"")</f>
        <v>15</v>
      </c>
      <c r="C38" s="253" t="str">
        <f>IF(LEN(D38)&gt;0,VLOOKUP(D38,'[2]1. Lists'!$E$3:$F$52,2,FALSE),"")</f>
        <v>Administration &amp; Community Services</v>
      </c>
      <c r="D38" s="263" t="s">
        <v>249</v>
      </c>
      <c r="E38" s="253">
        <f>IF(LEN(F38)&gt;0,VLOOKUP(F38,'1. Lists'!$T:$U,2,FALSE),"")</f>
        <v>119</v>
      </c>
      <c r="F38" s="255" t="s">
        <v>868</v>
      </c>
      <c r="G38" s="256"/>
      <c r="H38" s="256"/>
      <c r="I38" s="256"/>
      <c r="J38" s="256" t="s">
        <v>880</v>
      </c>
      <c r="K38" s="256" t="s">
        <v>914</v>
      </c>
      <c r="L38" s="257" t="s">
        <v>873</v>
      </c>
      <c r="M38" s="235" t="s">
        <v>874</v>
      </c>
      <c r="N38" s="235" t="s">
        <v>875</v>
      </c>
      <c r="O38" s="256"/>
      <c r="P38" s="258" t="s">
        <v>68</v>
      </c>
      <c r="Q38" s="258" t="s">
        <v>461</v>
      </c>
      <c r="R38" s="259"/>
      <c r="S38" s="260">
        <v>71.026265504875411</v>
      </c>
      <c r="T38" s="260">
        <v>604.74275544850491</v>
      </c>
      <c r="U38" s="260">
        <v>186.0924882027312</v>
      </c>
      <c r="V38" s="260">
        <v>86.527414676607279</v>
      </c>
      <c r="W38" s="260">
        <v>109.5287352552771</v>
      </c>
      <c r="X38" s="260">
        <v>1085.039900554166</v>
      </c>
      <c r="Y38" s="260">
        <v>71.026265504875411</v>
      </c>
      <c r="Z38" s="260">
        <v>547.98470155816358</v>
      </c>
      <c r="AA38" s="260">
        <v>1024.9431376114517</v>
      </c>
      <c r="AB38" s="260">
        <v>71.026265504875411</v>
      </c>
      <c r="AC38" s="260">
        <v>71.026265504875411</v>
      </c>
      <c r="AD38" s="260">
        <f>71.0358046735965+4</f>
        <v>75.035804673596502</v>
      </c>
      <c r="AE38" s="261">
        <f t="shared" si="0"/>
        <v>4000</v>
      </c>
      <c r="AF38" s="256">
        <v>4000</v>
      </c>
      <c r="AG38" s="256"/>
      <c r="AH38" s="272">
        <v>0</v>
      </c>
      <c r="AI38" s="272"/>
      <c r="AJ38" s="272">
        <v>0</v>
      </c>
      <c r="AK38" s="272"/>
      <c r="AL38" s="256"/>
      <c r="AM38" s="256"/>
      <c r="AN38" s="256"/>
      <c r="AO38" s="256"/>
      <c r="AR38" s="262">
        <f t="shared" si="1"/>
        <v>1.7756566376218852</v>
      </c>
      <c r="AS38" s="262">
        <f t="shared" si="2"/>
        <v>16.894225523834507</v>
      </c>
      <c r="AT38" s="262">
        <f t="shared" si="3"/>
        <v>21.546537728902788</v>
      </c>
      <c r="AU38" s="262">
        <f t="shared" si="4"/>
        <v>23.709723095817971</v>
      </c>
      <c r="AV38" s="262">
        <f t="shared" si="5"/>
        <v>26.447941477199898</v>
      </c>
      <c r="AW38" s="262">
        <f t="shared" si="6"/>
        <v>53.57393899105405</v>
      </c>
      <c r="AX38" s="262">
        <f t="shared" si="7"/>
        <v>55.349595628675935</v>
      </c>
      <c r="AY38" s="262">
        <f t="shared" si="8"/>
        <v>69.049213167630029</v>
      </c>
      <c r="AZ38" s="262">
        <f t="shared" si="9"/>
        <v>94.672791607916324</v>
      </c>
      <c r="BA38" s="262">
        <f t="shared" si="10"/>
        <v>96.448448245538202</v>
      </c>
      <c r="BB38" s="262">
        <f t="shared" si="11"/>
        <v>98.224104883160081</v>
      </c>
      <c r="BC38" s="262">
        <f t="shared" si="12"/>
        <v>100.1</v>
      </c>
      <c r="BD38" s="262">
        <f t="shared" si="13"/>
        <v>657.7921769873517</v>
      </c>
    </row>
    <row r="39" spans="1:56" s="253" customFormat="1" ht="30" x14ac:dyDescent="0.25">
      <c r="A39" s="253">
        <f t="shared" si="14"/>
        <v>37</v>
      </c>
      <c r="B39" s="253">
        <f>IF(LEN(D39)&gt;0,VLOOKUP(D39,'[2]1. Lists'!E:J,6,FALSE),"")</f>
        <v>15</v>
      </c>
      <c r="C39" s="253" t="str">
        <f>IF(LEN(D39)&gt;0,VLOOKUP(D39,'[2]1. Lists'!$E$3:$F$52,2,FALSE),"")</f>
        <v>Administration &amp; Community Services</v>
      </c>
      <c r="D39" s="263" t="s">
        <v>249</v>
      </c>
      <c r="E39" s="253">
        <f>IF(LEN(F39)&gt;0,VLOOKUP(F39,'1. Lists'!$T:$U,2,FALSE),"")</f>
        <v>119</v>
      </c>
      <c r="F39" s="255" t="s">
        <v>868</v>
      </c>
      <c r="G39" s="256"/>
      <c r="H39" s="256"/>
      <c r="I39" s="256"/>
      <c r="J39" s="256" t="s">
        <v>876</v>
      </c>
      <c r="K39" s="256" t="s">
        <v>915</v>
      </c>
      <c r="L39" s="257" t="s">
        <v>873</v>
      </c>
      <c r="M39" s="235" t="s">
        <v>874</v>
      </c>
      <c r="N39" s="235" t="s">
        <v>875</v>
      </c>
      <c r="O39" s="256"/>
      <c r="P39" s="258" t="s">
        <v>68</v>
      </c>
      <c r="Q39" s="258" t="s">
        <v>461</v>
      </c>
      <c r="R39" s="259"/>
      <c r="S39" s="260">
        <v>17.756566376218853</v>
      </c>
      <c r="T39" s="260">
        <v>151.18568886212623</v>
      </c>
      <c r="U39" s="260">
        <v>46.523122050682801</v>
      </c>
      <c r="V39" s="260">
        <v>21.63185366915182</v>
      </c>
      <c r="W39" s="260">
        <v>27.382183813819275</v>
      </c>
      <c r="X39" s="260">
        <v>271.25997513854151</v>
      </c>
      <c r="Y39" s="260">
        <v>17.756566376218853</v>
      </c>
      <c r="Z39" s="260">
        <v>136.99617538954089</v>
      </c>
      <c r="AA39" s="260">
        <v>256.23578440286292</v>
      </c>
      <c r="AB39" s="260">
        <v>17.756566376218853</v>
      </c>
      <c r="AC39" s="260">
        <v>17.756566376218853</v>
      </c>
      <c r="AD39" s="260">
        <f>17.7589511683991+7</f>
        <v>24.758951168399101</v>
      </c>
      <c r="AE39" s="261">
        <f t="shared" si="0"/>
        <v>1000</v>
      </c>
      <c r="AF39" s="256">
        <v>1000</v>
      </c>
      <c r="AG39" s="256"/>
      <c r="AH39" s="272">
        <v>0</v>
      </c>
      <c r="AI39" s="272"/>
      <c r="AJ39" s="272">
        <v>0</v>
      </c>
      <c r="AK39" s="272"/>
      <c r="AL39" s="256"/>
      <c r="AM39" s="256"/>
      <c r="AN39" s="256"/>
      <c r="AO39" s="256"/>
      <c r="AR39" s="262">
        <f t="shared" si="1"/>
        <v>1.7756566376218852</v>
      </c>
      <c r="AS39" s="262">
        <f t="shared" si="2"/>
        <v>16.894225523834507</v>
      </c>
      <c r="AT39" s="262">
        <f t="shared" si="3"/>
        <v>21.546537728902788</v>
      </c>
      <c r="AU39" s="262">
        <f t="shared" si="4"/>
        <v>23.709723095817971</v>
      </c>
      <c r="AV39" s="262">
        <f t="shared" si="5"/>
        <v>26.447941477199898</v>
      </c>
      <c r="AW39" s="262">
        <f t="shared" si="6"/>
        <v>53.57393899105405</v>
      </c>
      <c r="AX39" s="262">
        <f t="shared" si="7"/>
        <v>55.349595628675935</v>
      </c>
      <c r="AY39" s="262">
        <f t="shared" si="8"/>
        <v>69.049213167630029</v>
      </c>
      <c r="AZ39" s="262">
        <f t="shared" si="9"/>
        <v>94.672791607916324</v>
      </c>
      <c r="BA39" s="262">
        <f t="shared" si="10"/>
        <v>96.448448245538202</v>
      </c>
      <c r="BB39" s="262">
        <f t="shared" si="11"/>
        <v>98.224104883160081</v>
      </c>
      <c r="BC39" s="262">
        <f t="shared" si="12"/>
        <v>100.69999999999999</v>
      </c>
      <c r="BD39" s="262">
        <f t="shared" si="13"/>
        <v>658.3921769873516</v>
      </c>
    </row>
    <row r="40" spans="1:56" s="253" customFormat="1" ht="45" x14ac:dyDescent="0.25">
      <c r="A40" s="253">
        <f t="shared" si="14"/>
        <v>38</v>
      </c>
      <c r="B40" s="253">
        <f>IF(LEN(D40)&gt;0,VLOOKUP(D40,'[2]1. Lists'!E:J,6,FALSE),"")</f>
        <v>5</v>
      </c>
      <c r="C40" s="253" t="str">
        <f>IF(LEN(D40)&gt;0,VLOOKUP(D40,'[2]1. Lists'!$E$3:$F$52,2,FALSE),"")</f>
        <v>Office of the Municipal Manager</v>
      </c>
      <c r="D40" s="263" t="s">
        <v>186</v>
      </c>
      <c r="E40" s="253">
        <f>IF(LEN(F40)&gt;0,VLOOKUP(F40,'1. Lists'!$T:$U,2,FALSE),"")</f>
        <v>63</v>
      </c>
      <c r="F40" s="264" t="s">
        <v>441</v>
      </c>
      <c r="G40" s="256"/>
      <c r="H40" s="256"/>
      <c r="I40" s="256"/>
      <c r="J40" s="256" t="s">
        <v>876</v>
      </c>
      <c r="K40" s="256" t="s">
        <v>886</v>
      </c>
      <c r="L40" s="257" t="s">
        <v>873</v>
      </c>
      <c r="M40" s="235" t="s">
        <v>874</v>
      </c>
      <c r="N40" s="235" t="s">
        <v>875</v>
      </c>
      <c r="O40" s="256"/>
      <c r="P40" s="258" t="s">
        <v>68</v>
      </c>
      <c r="Q40" s="258" t="s">
        <v>461</v>
      </c>
      <c r="R40" s="259"/>
      <c r="S40" s="260">
        <v>50.073517180937166</v>
      </c>
      <c r="T40" s="260">
        <v>426.34364259119593</v>
      </c>
      <c r="U40" s="260">
        <v>131.19520418292549</v>
      </c>
      <c r="V40" s="260">
        <v>61.001827347008131</v>
      </c>
      <c r="W40" s="260">
        <v>77.217758354970357</v>
      </c>
      <c r="X40" s="260">
        <v>764.95312989068702</v>
      </c>
      <c r="Y40" s="260">
        <v>50.073517180937166</v>
      </c>
      <c r="Z40" s="260">
        <v>386.3292145985053</v>
      </c>
      <c r="AA40" s="260">
        <v>722.58491201607342</v>
      </c>
      <c r="AB40" s="260">
        <v>50.073517180937166</v>
      </c>
      <c r="AC40" s="260">
        <v>50.073517180937166</v>
      </c>
      <c r="AD40" s="260">
        <f>50.0802422948855+3</f>
        <v>53.080242294885501</v>
      </c>
      <c r="AE40" s="261">
        <f t="shared" si="0"/>
        <v>2820</v>
      </c>
      <c r="AF40" s="256">
        <v>2820</v>
      </c>
      <c r="AG40" s="256"/>
      <c r="AH40" s="272">
        <v>0</v>
      </c>
      <c r="AI40" s="272"/>
      <c r="AJ40" s="272">
        <v>0</v>
      </c>
      <c r="AK40" s="272"/>
      <c r="AL40" s="256"/>
      <c r="AM40" s="256"/>
      <c r="AN40" s="256"/>
      <c r="AO40" s="256"/>
      <c r="AR40" s="262">
        <f t="shared" si="1"/>
        <v>1.7756566376218852</v>
      </c>
      <c r="AS40" s="262">
        <f t="shared" si="2"/>
        <v>16.894225523834507</v>
      </c>
      <c r="AT40" s="262">
        <f t="shared" si="3"/>
        <v>21.546537728902788</v>
      </c>
      <c r="AU40" s="262">
        <f t="shared" si="4"/>
        <v>23.709723095817971</v>
      </c>
      <c r="AV40" s="262">
        <f t="shared" si="5"/>
        <v>26.447941477199898</v>
      </c>
      <c r="AW40" s="262">
        <f t="shared" si="6"/>
        <v>53.57393899105405</v>
      </c>
      <c r="AX40" s="262">
        <f t="shared" si="7"/>
        <v>55.349595628675935</v>
      </c>
      <c r="AY40" s="262">
        <f t="shared" si="8"/>
        <v>69.049213167630029</v>
      </c>
      <c r="AZ40" s="262">
        <f t="shared" si="9"/>
        <v>94.672791607916324</v>
      </c>
      <c r="BA40" s="262">
        <f t="shared" si="10"/>
        <v>96.448448245538202</v>
      </c>
      <c r="BB40" s="262">
        <f t="shared" si="11"/>
        <v>98.224104883160081</v>
      </c>
      <c r="BC40" s="262">
        <f t="shared" si="12"/>
        <v>100.1063829787234</v>
      </c>
      <c r="BD40" s="262">
        <f t="shared" si="13"/>
        <v>657.79855996607512</v>
      </c>
    </row>
    <row r="41" spans="1:56" s="253" customFormat="1" ht="45" x14ac:dyDescent="0.25">
      <c r="A41" s="253">
        <f t="shared" si="14"/>
        <v>39</v>
      </c>
      <c r="B41" s="253">
        <f>IF(LEN(D41)&gt;0,VLOOKUP(D41,'[2]1. Lists'!E:J,6,FALSE),"")</f>
        <v>5</v>
      </c>
      <c r="C41" s="253" t="str">
        <f>IF(LEN(D41)&gt;0,VLOOKUP(D41,'[2]1. Lists'!$E$3:$F$52,2,FALSE),"")</f>
        <v>Office of the Municipal Manager</v>
      </c>
      <c r="D41" s="263" t="s">
        <v>186</v>
      </c>
      <c r="E41" s="253">
        <f>IF(LEN(F41)&gt;0,VLOOKUP(F41,'1. Lists'!$T:$U,2,FALSE),"")</f>
        <v>63</v>
      </c>
      <c r="F41" s="264" t="s">
        <v>441</v>
      </c>
      <c r="G41" s="256"/>
      <c r="H41" s="256"/>
      <c r="I41" s="256"/>
      <c r="J41" s="256" t="s">
        <v>876</v>
      </c>
      <c r="K41" s="256" t="s">
        <v>916</v>
      </c>
      <c r="L41" s="257" t="s">
        <v>873</v>
      </c>
      <c r="M41" s="235" t="s">
        <v>874</v>
      </c>
      <c r="N41" s="235" t="s">
        <v>875</v>
      </c>
      <c r="O41" s="256"/>
      <c r="P41" s="258" t="s">
        <v>68</v>
      </c>
      <c r="Q41" s="258" t="s">
        <v>461</v>
      </c>
      <c r="R41" s="259"/>
      <c r="S41" s="260">
        <v>131.04345985649513</v>
      </c>
      <c r="T41" s="260">
        <v>1115.7503838024916</v>
      </c>
      <c r="U41" s="260">
        <v>343.34064073403903</v>
      </c>
      <c r="V41" s="260">
        <v>159.64308007834043</v>
      </c>
      <c r="W41" s="260">
        <v>202.08051654598623</v>
      </c>
      <c r="X41" s="260">
        <v>2001.8986165224362</v>
      </c>
      <c r="Y41" s="260">
        <v>131.04345985649513</v>
      </c>
      <c r="Z41" s="260">
        <v>1011.0317743748118</v>
      </c>
      <c r="AA41" s="260">
        <v>1891.0200888931283</v>
      </c>
      <c r="AB41" s="260">
        <v>131.04345985649513</v>
      </c>
      <c r="AC41" s="260">
        <v>131.04345985649513</v>
      </c>
      <c r="AD41" s="260">
        <f>131.061059622786+3</f>
        <v>134.06105962278599</v>
      </c>
      <c r="AE41" s="261">
        <f t="shared" si="0"/>
        <v>7380</v>
      </c>
      <c r="AF41" s="256">
        <v>7380</v>
      </c>
      <c r="AG41" s="256"/>
      <c r="AH41" s="272">
        <v>0</v>
      </c>
      <c r="AI41" s="272"/>
      <c r="AJ41" s="272">
        <v>0</v>
      </c>
      <c r="AK41" s="272"/>
      <c r="AL41" s="256"/>
      <c r="AM41" s="256"/>
      <c r="AN41" s="256"/>
      <c r="AO41" s="256"/>
      <c r="AR41" s="262">
        <f t="shared" si="1"/>
        <v>1.7756566376218852</v>
      </c>
      <c r="AS41" s="262">
        <f t="shared" si="2"/>
        <v>16.894225523834507</v>
      </c>
      <c r="AT41" s="262">
        <f t="shared" si="3"/>
        <v>21.546537728902788</v>
      </c>
      <c r="AU41" s="262">
        <f t="shared" si="4"/>
        <v>23.709723095817971</v>
      </c>
      <c r="AV41" s="262">
        <f t="shared" si="5"/>
        <v>26.447941477199898</v>
      </c>
      <c r="AW41" s="262">
        <f t="shared" si="6"/>
        <v>53.57393899105405</v>
      </c>
      <c r="AX41" s="262">
        <f t="shared" si="7"/>
        <v>55.349595628675935</v>
      </c>
      <c r="AY41" s="262">
        <f t="shared" si="8"/>
        <v>69.049213167630029</v>
      </c>
      <c r="AZ41" s="262">
        <f t="shared" si="9"/>
        <v>94.672791607916324</v>
      </c>
      <c r="BA41" s="262">
        <f t="shared" si="10"/>
        <v>96.448448245538202</v>
      </c>
      <c r="BB41" s="262">
        <f t="shared" si="11"/>
        <v>98.224104883160081</v>
      </c>
      <c r="BC41" s="262">
        <f t="shared" si="12"/>
        <v>100.04065040650407</v>
      </c>
      <c r="BD41" s="262">
        <f t="shared" si="13"/>
        <v>657.7328273938557</v>
      </c>
    </row>
    <row r="42" spans="1:56" s="253" customFormat="1" ht="30" x14ac:dyDescent="0.25">
      <c r="A42" s="253">
        <f t="shared" si="14"/>
        <v>40</v>
      </c>
      <c r="B42" s="253">
        <f>IF(LEN(D42)&gt;0,VLOOKUP(D42,'[2]1. Lists'!E:J,6,FALSE),"")</f>
        <v>22</v>
      </c>
      <c r="C42" s="253" t="str">
        <f>IF(LEN(D42)&gt;0,VLOOKUP(D42,'[2]1. Lists'!$E$3:$F$52,2,FALSE),"")</f>
        <v>Technical Services</v>
      </c>
      <c r="D42" s="254" t="s">
        <v>379</v>
      </c>
      <c r="E42" s="253">
        <f>IF(LEN(F42)&gt;0,VLOOKUP(F42,'1. Lists'!$T:$U,2,FALSE),"")</f>
        <v>73</v>
      </c>
      <c r="F42" s="255" t="s">
        <v>867</v>
      </c>
      <c r="G42" s="256"/>
      <c r="H42" s="256"/>
      <c r="I42" s="256"/>
      <c r="J42" s="256" t="s">
        <v>880</v>
      </c>
      <c r="K42" s="256" t="s">
        <v>917</v>
      </c>
      <c r="L42" s="257" t="s">
        <v>873</v>
      </c>
      <c r="M42" s="235" t="s">
        <v>874</v>
      </c>
      <c r="N42" s="235" t="s">
        <v>875</v>
      </c>
      <c r="O42" s="256"/>
      <c r="P42" s="258" t="s">
        <v>68</v>
      </c>
      <c r="Q42" s="258" t="s">
        <v>461</v>
      </c>
      <c r="R42" s="259"/>
      <c r="S42" s="260">
        <v>514.94042491034668</v>
      </c>
      <c r="T42" s="260">
        <v>4384.3849770016604</v>
      </c>
      <c r="U42" s="260">
        <v>1349.170539469801</v>
      </c>
      <c r="V42" s="260">
        <v>627.32375640540283</v>
      </c>
      <c r="W42" s="260">
        <v>794.08333060075893</v>
      </c>
      <c r="X42" s="260">
        <v>7866.5392790177038</v>
      </c>
      <c r="Y42" s="260">
        <v>514.94042491034668</v>
      </c>
      <c r="Z42" s="260">
        <v>3972.8890862966859</v>
      </c>
      <c r="AA42" s="260">
        <v>7430.8377476830246</v>
      </c>
      <c r="AB42" s="260">
        <v>514.94042491034668</v>
      </c>
      <c r="AC42" s="260">
        <v>514.94042491034668</v>
      </c>
      <c r="AD42" s="260">
        <f>515.009583883574+7</f>
        <v>522.00958388357401</v>
      </c>
      <c r="AE42" s="261">
        <f t="shared" si="0"/>
        <v>29000</v>
      </c>
      <c r="AF42" s="256">
        <v>29000</v>
      </c>
      <c r="AG42" s="256"/>
      <c r="AH42" s="272">
        <v>0</v>
      </c>
      <c r="AI42" s="272"/>
      <c r="AJ42" s="272">
        <v>0</v>
      </c>
      <c r="AK42" s="272"/>
      <c r="AL42" s="256"/>
      <c r="AM42" s="256"/>
      <c r="AN42" s="256"/>
      <c r="AO42" s="256"/>
      <c r="AR42" s="262">
        <f t="shared" si="1"/>
        <v>1.7756566376218852</v>
      </c>
      <c r="AS42" s="262">
        <f t="shared" si="2"/>
        <v>16.894225523834507</v>
      </c>
      <c r="AT42" s="262">
        <f t="shared" si="3"/>
        <v>21.546537728902784</v>
      </c>
      <c r="AU42" s="262">
        <f t="shared" si="4"/>
        <v>23.709723095817967</v>
      </c>
      <c r="AV42" s="262">
        <f t="shared" si="5"/>
        <v>26.447941477199894</v>
      </c>
      <c r="AW42" s="262">
        <f t="shared" si="6"/>
        <v>53.573938991054042</v>
      </c>
      <c r="AX42" s="262">
        <f t="shared" si="7"/>
        <v>55.349595628675928</v>
      </c>
      <c r="AY42" s="262">
        <f t="shared" si="8"/>
        <v>69.049213167630015</v>
      </c>
      <c r="AZ42" s="262">
        <f t="shared" si="9"/>
        <v>94.672791607916309</v>
      </c>
      <c r="BA42" s="262">
        <f t="shared" si="10"/>
        <v>96.448448245538188</v>
      </c>
      <c r="BB42" s="262">
        <f t="shared" si="11"/>
        <v>98.224104883160066</v>
      </c>
      <c r="BC42" s="262">
        <f t="shared" si="12"/>
        <v>100.02413793103446</v>
      </c>
      <c r="BD42" s="262">
        <f t="shared" si="13"/>
        <v>657.71631491838605</v>
      </c>
    </row>
    <row r="43" spans="1:56" s="253" customFormat="1" ht="30" x14ac:dyDescent="0.25">
      <c r="A43" s="253">
        <f t="shared" si="14"/>
        <v>41</v>
      </c>
      <c r="B43" s="253">
        <f>IF(LEN(D43)&gt;0,VLOOKUP(D43,'[2]1. Lists'!E:J,6,FALSE),"")</f>
        <v>20</v>
      </c>
      <c r="C43" s="253" t="str">
        <f>IF(LEN(D43)&gt;0,VLOOKUP(D43,'[2]1. Lists'!$E$3:$F$52,2,FALSE),"")</f>
        <v>Financial Services</v>
      </c>
      <c r="D43" s="263" t="s">
        <v>273</v>
      </c>
      <c r="E43" s="253">
        <f>IF(LEN(F43)&gt;0,VLOOKUP(F43,'1. Lists'!$T:$U,2,FALSE),"")</f>
        <v>101</v>
      </c>
      <c r="F43" s="264" t="s">
        <v>443</v>
      </c>
      <c r="G43" s="256"/>
      <c r="H43" s="256"/>
      <c r="I43" s="256"/>
      <c r="J43" s="256" t="s">
        <v>883</v>
      </c>
      <c r="K43" s="256" t="s">
        <v>918</v>
      </c>
      <c r="L43" s="257" t="s">
        <v>873</v>
      </c>
      <c r="M43" s="235" t="s">
        <v>874</v>
      </c>
      <c r="N43" s="235" t="s">
        <v>875</v>
      </c>
      <c r="O43" s="256"/>
      <c r="P43" s="258" t="s">
        <v>68</v>
      </c>
      <c r="Q43" s="258" t="s">
        <v>461</v>
      </c>
      <c r="R43" s="259"/>
      <c r="S43" s="274">
        <v>7102.626550487541</v>
      </c>
      <c r="T43" s="274">
        <v>60474.275544850483</v>
      </c>
      <c r="U43" s="274">
        <v>18609.248820273118</v>
      </c>
      <c r="V43" s="274">
        <v>8652.7414676607277</v>
      </c>
      <c r="W43" s="274">
        <v>10952.87352552771</v>
      </c>
      <c r="X43" s="274">
        <v>108503.99005541659</v>
      </c>
      <c r="Y43" s="274">
        <v>7102.626550487541</v>
      </c>
      <c r="Z43" s="274">
        <v>54798.470155816358</v>
      </c>
      <c r="AA43" s="274">
        <v>102494.31376114517</v>
      </c>
      <c r="AB43" s="274">
        <v>7102.626550487541</v>
      </c>
      <c r="AC43" s="274">
        <v>7102.626550487541</v>
      </c>
      <c r="AD43" s="274">
        <f>7103.58046735965+7</f>
        <v>7110.5804673596504</v>
      </c>
      <c r="AE43" s="275">
        <f t="shared" si="0"/>
        <v>400000</v>
      </c>
      <c r="AF43" s="276">
        <v>400000</v>
      </c>
      <c r="AG43" s="276"/>
      <c r="AH43" s="277">
        <v>100000</v>
      </c>
      <c r="AI43" s="277"/>
      <c r="AJ43" s="277">
        <v>100000</v>
      </c>
      <c r="AK43" s="277"/>
      <c r="AL43" s="256"/>
      <c r="AM43" s="256"/>
      <c r="AN43" s="256"/>
      <c r="AO43" s="256"/>
      <c r="AR43" s="262">
        <f t="shared" si="1"/>
        <v>1.7756566376218852</v>
      </c>
      <c r="AS43" s="262">
        <f t="shared" si="2"/>
        <v>16.894225523834507</v>
      </c>
      <c r="AT43" s="262">
        <f t="shared" si="3"/>
        <v>21.546537728902788</v>
      </c>
      <c r="AU43" s="262">
        <f t="shared" si="4"/>
        <v>23.709723095817971</v>
      </c>
      <c r="AV43" s="262">
        <f t="shared" si="5"/>
        <v>26.447941477199898</v>
      </c>
      <c r="AW43" s="262">
        <f t="shared" si="6"/>
        <v>53.57393899105405</v>
      </c>
      <c r="AX43" s="262">
        <f t="shared" si="7"/>
        <v>55.349595628675935</v>
      </c>
      <c r="AY43" s="262">
        <f t="shared" si="8"/>
        <v>69.049213167630029</v>
      </c>
      <c r="AZ43" s="262">
        <f t="shared" si="9"/>
        <v>94.672791607916324</v>
      </c>
      <c r="BA43" s="262">
        <f t="shared" si="10"/>
        <v>96.448448245538202</v>
      </c>
      <c r="BB43" s="262">
        <f t="shared" si="11"/>
        <v>98.224104883160081</v>
      </c>
      <c r="BC43" s="262">
        <f t="shared" si="12"/>
        <v>100.00174999999999</v>
      </c>
      <c r="BD43" s="262">
        <f t="shared" si="13"/>
        <v>657.69392698735169</v>
      </c>
    </row>
    <row r="44" spans="1:56" ht="15.75" thickBot="1" x14ac:dyDescent="0.3">
      <c r="S44" s="281">
        <f>SUM(S3:S43)</f>
        <v>59565.999999999993</v>
      </c>
      <c r="T44" s="282">
        <f t="shared" ref="T44:AK44" si="15">SUM(T3:T43)</f>
        <v>507165.99999999994</v>
      </c>
      <c r="U44" s="282">
        <f t="shared" si="15"/>
        <v>156066.00000000006</v>
      </c>
      <c r="V44" s="282">
        <f t="shared" si="15"/>
        <v>72566</v>
      </c>
      <c r="W44" s="282">
        <f t="shared" si="15"/>
        <v>91856</v>
      </c>
      <c r="X44" s="282">
        <f t="shared" si="15"/>
        <v>909965.99999999965</v>
      </c>
      <c r="Y44" s="282">
        <f t="shared" si="15"/>
        <v>59565.999999999993</v>
      </c>
      <c r="Z44" s="282">
        <f t="shared" si="15"/>
        <v>459566.00000000017</v>
      </c>
      <c r="AA44" s="282">
        <f t="shared" si="15"/>
        <v>859565.99999999977</v>
      </c>
      <c r="AB44" s="282">
        <f t="shared" si="15"/>
        <v>59565.999999999993</v>
      </c>
      <c r="AC44" s="282">
        <f t="shared" si="15"/>
        <v>59565.999999999993</v>
      </c>
      <c r="AD44" s="282">
        <f t="shared" si="15"/>
        <v>59816.000000000044</v>
      </c>
      <c r="AE44" s="282">
        <f t="shared" si="15"/>
        <v>3354590</v>
      </c>
      <c r="AF44" s="282">
        <f t="shared" si="15"/>
        <v>3354590</v>
      </c>
      <c r="AG44" s="282">
        <f t="shared" si="15"/>
        <v>0</v>
      </c>
      <c r="AH44" s="282">
        <f t="shared" si="15"/>
        <v>1303000</v>
      </c>
      <c r="AI44" s="282">
        <f t="shared" si="15"/>
        <v>0</v>
      </c>
      <c r="AJ44" s="282">
        <f t="shared" si="15"/>
        <v>1250000</v>
      </c>
      <c r="AK44" s="283">
        <f t="shared" si="15"/>
        <v>0</v>
      </c>
    </row>
    <row r="45" spans="1:56" ht="15.75" thickTop="1" x14ac:dyDescent="0.25">
      <c r="S45" s="278"/>
      <c r="T45" s="278"/>
      <c r="U45" s="278"/>
      <c r="V45" s="278"/>
      <c r="W45" s="278"/>
      <c r="X45" s="278"/>
      <c r="Y45" s="278"/>
      <c r="Z45" s="278"/>
      <c r="AA45" s="278"/>
      <c r="AB45" s="278"/>
      <c r="AC45" s="278"/>
      <c r="AD45" s="278"/>
      <c r="AE45" s="279"/>
      <c r="AF45" s="278"/>
      <c r="AG45" s="278"/>
      <c r="AH45" s="280"/>
      <c r="AI45" s="280"/>
      <c r="AJ45" s="280"/>
      <c r="AK45" s="280"/>
    </row>
  </sheetData>
  <customSheetViews>
    <customSheetView guid="{9B5DD690-7A96-4FFD-9A82-5184EBE7D9A3}">
      <pane xSplit="1" ySplit="2" topLeftCell="B3" activePane="bottomRight" state="frozen"/>
      <selection pane="bottomRight" activeCell="D3" sqref="D3"/>
      <pageMargins left="0.7" right="0.7" top="0.75" bottom="0.75" header="0.3" footer="0.3"/>
      <pageSetup paperSize="9" orientation="portrait" verticalDpi="0" r:id="rId1"/>
    </customSheetView>
  </customSheetViews>
  <mergeCells count="7">
    <mergeCell ref="AL1:AM1"/>
    <mergeCell ref="AN1:AO1"/>
    <mergeCell ref="B1:D1"/>
    <mergeCell ref="E1:F1"/>
    <mergeCell ref="AF1:AG1"/>
    <mergeCell ref="AH1:AI1"/>
    <mergeCell ref="AJ1:AK1"/>
  </mergeCells>
  <conditionalFormatting sqref="E2:E1048576 B2:C1048576">
    <cfRule type="containsErrors" dxfId="33" priority="6">
      <formula>ISERROR(B2)</formula>
    </cfRule>
  </conditionalFormatting>
  <conditionalFormatting sqref="C3:C43">
    <cfRule type="cellIs" dxfId="32" priority="5" operator="equal">
      <formula>0</formula>
    </cfRule>
  </conditionalFormatting>
  <conditionalFormatting sqref="G3:I43">
    <cfRule type="expression" dxfId="31" priority="4">
      <formula>LEN(G3)&gt;(MID($G$2,1,FIND(" ",$G$2)-1)*1)</formula>
    </cfRule>
  </conditionalFormatting>
  <conditionalFormatting sqref="J3:J43">
    <cfRule type="expression" dxfId="30" priority="3">
      <formula>LEN(J3)&gt;(MID($J$2,1,FIND(" ",$J$2)-1)*1)</formula>
    </cfRule>
  </conditionalFormatting>
  <conditionalFormatting sqref="K3:K43">
    <cfRule type="expression" dxfId="29" priority="2">
      <formula>LEN(K3)&gt;(MID($K$2,1,FIND(" ",$K$2)-1)*1)</formula>
    </cfRule>
  </conditionalFormatting>
  <conditionalFormatting sqref="J3:J43 P3:Q43 L3:N43 F3:F43 D3:D43">
    <cfRule type="expression" dxfId="28" priority="1">
      <formula>IF(LEN(D3)=0,IF($A3&gt;0,TRUE,FALSE),FALSE)</formula>
    </cfRule>
  </conditionalFormatting>
  <dataValidations count="2">
    <dataValidation type="list" allowBlank="1" showInputMessage="1" showErrorMessage="1" sqref="F3:F43">
      <formula1>gfs</formula1>
    </dataValidation>
    <dataValidation type="list" allowBlank="1" showInputMessage="1" showErrorMessage="1" sqref="D3:D43">
      <formula1>SubDir</formula1>
    </dataValidation>
  </dataValidations>
  <pageMargins left="0.25" right="0.25" top="0.75" bottom="0.75" header="0.3" footer="0.3"/>
  <pageSetup paperSize="9" scale="30" fitToHeight="100" orientation="landscape" r:id="rId2"/>
  <headerFooter>
    <oddHeader>&amp;C&amp;"-,Bold"&amp;14Capital projects for the 2018/19 financial year</oddHeader>
    <oddFooter>&amp;R&amp;"-,Bold"Page|&amp;P/&amp;N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24"/>
  <sheetViews>
    <sheetView topLeftCell="C1" zoomScaleNormal="100" workbookViewId="0">
      <selection activeCell="C3" sqref="C3"/>
    </sheetView>
  </sheetViews>
  <sheetFormatPr defaultColWidth="8.85546875" defaultRowHeight="15" x14ac:dyDescent="0.25"/>
  <cols>
    <col min="1" max="1" width="6.140625" style="346" hidden="1" customWidth="1"/>
    <col min="2" max="2" width="67.140625" style="346" hidden="1" customWidth="1"/>
    <col min="3" max="3" width="37.42578125" style="346" customWidth="1"/>
    <col min="4" max="4" width="28.140625" style="346" hidden="1" customWidth="1"/>
    <col min="5" max="5" width="6.140625" style="346" hidden="1" customWidth="1"/>
    <col min="6" max="6" width="41.28515625" style="346" customWidth="1"/>
    <col min="7" max="7" width="21" style="346" hidden="1" customWidth="1"/>
    <col min="8" max="8" width="3" style="346" customWidth="1"/>
    <col min="9" max="44" width="16.7109375" style="346" customWidth="1"/>
    <col min="45" max="45" width="2.7109375" style="346" customWidth="1"/>
    <col min="46" max="48" width="20.42578125" style="382" customWidth="1"/>
    <col min="49" max="16384" width="8.85546875" style="346"/>
  </cols>
  <sheetData>
    <row r="1" spans="1:48" s="288" customFormat="1" x14ac:dyDescent="0.25">
      <c r="A1" s="428" t="str">
        <f>kpi_subid</f>
        <v>Sub-Directorate [R]</v>
      </c>
      <c r="B1" s="429"/>
      <c r="C1" s="430"/>
      <c r="D1" s="284" t="s">
        <v>126</v>
      </c>
      <c r="E1" s="431" t="str">
        <f>kpi_gfsid</f>
        <v>Function [R]</v>
      </c>
      <c r="F1" s="432"/>
      <c r="G1" s="285" t="s">
        <v>27</v>
      </c>
      <c r="H1" s="286"/>
      <c r="I1" s="436">
        <v>40725</v>
      </c>
      <c r="J1" s="437"/>
      <c r="K1" s="438"/>
      <c r="L1" s="439">
        <f>I1+31</f>
        <v>40756</v>
      </c>
      <c r="M1" s="440"/>
      <c r="N1" s="441"/>
      <c r="O1" s="442">
        <f>L1+31</f>
        <v>40787</v>
      </c>
      <c r="P1" s="443"/>
      <c r="Q1" s="444"/>
      <c r="R1" s="445">
        <f>O1+31</f>
        <v>40818</v>
      </c>
      <c r="S1" s="446"/>
      <c r="T1" s="447"/>
      <c r="U1" s="448">
        <f>R1+31</f>
        <v>40849</v>
      </c>
      <c r="V1" s="449"/>
      <c r="W1" s="450"/>
      <c r="X1" s="451">
        <f>U1+31</f>
        <v>40880</v>
      </c>
      <c r="Y1" s="452"/>
      <c r="Z1" s="453"/>
      <c r="AA1" s="436">
        <f>X1+31</f>
        <v>40911</v>
      </c>
      <c r="AB1" s="437"/>
      <c r="AC1" s="438"/>
      <c r="AD1" s="439">
        <f>AA1+31</f>
        <v>40942</v>
      </c>
      <c r="AE1" s="440"/>
      <c r="AF1" s="441"/>
      <c r="AG1" s="442">
        <f>AD1+31</f>
        <v>40973</v>
      </c>
      <c r="AH1" s="443"/>
      <c r="AI1" s="444"/>
      <c r="AJ1" s="445">
        <f>AG1+31</f>
        <v>41004</v>
      </c>
      <c r="AK1" s="446"/>
      <c r="AL1" s="447"/>
      <c r="AM1" s="448">
        <f>AJ1+31</f>
        <v>41035</v>
      </c>
      <c r="AN1" s="449"/>
      <c r="AO1" s="450"/>
      <c r="AP1" s="451">
        <f>AM1+31</f>
        <v>41066</v>
      </c>
      <c r="AQ1" s="452"/>
      <c r="AR1" s="453"/>
      <c r="AS1" s="287"/>
      <c r="AT1" s="433" t="s">
        <v>121</v>
      </c>
      <c r="AU1" s="434"/>
      <c r="AV1" s="435"/>
    </row>
    <row r="2" spans="1:48" s="317" customFormat="1" x14ac:dyDescent="0.25">
      <c r="A2" s="289"/>
      <c r="B2" s="290" t="s">
        <v>1</v>
      </c>
      <c r="C2" s="291"/>
      <c r="D2" s="292" t="s">
        <v>106</v>
      </c>
      <c r="E2" s="289" t="s">
        <v>179</v>
      </c>
      <c r="F2" s="293"/>
      <c r="G2" s="294" t="s">
        <v>104</v>
      </c>
      <c r="H2" s="295"/>
      <c r="I2" s="296" t="s">
        <v>123</v>
      </c>
      <c r="J2" s="297" t="s">
        <v>124</v>
      </c>
      <c r="K2" s="298" t="s">
        <v>125</v>
      </c>
      <c r="L2" s="299" t="s">
        <v>123</v>
      </c>
      <c r="M2" s="300" t="s">
        <v>124</v>
      </c>
      <c r="N2" s="301" t="s">
        <v>125</v>
      </c>
      <c r="O2" s="302" t="s">
        <v>123</v>
      </c>
      <c r="P2" s="303" t="s">
        <v>124</v>
      </c>
      <c r="Q2" s="293" t="s">
        <v>125</v>
      </c>
      <c r="R2" s="304" t="s">
        <v>123</v>
      </c>
      <c r="S2" s="305" t="s">
        <v>124</v>
      </c>
      <c r="T2" s="306" t="s">
        <v>125</v>
      </c>
      <c r="U2" s="307" t="s">
        <v>123</v>
      </c>
      <c r="V2" s="308" t="s">
        <v>124</v>
      </c>
      <c r="W2" s="309" t="s">
        <v>125</v>
      </c>
      <c r="X2" s="310" t="s">
        <v>123</v>
      </c>
      <c r="Y2" s="311" t="s">
        <v>124</v>
      </c>
      <c r="Z2" s="312" t="s">
        <v>125</v>
      </c>
      <c r="AA2" s="296" t="s">
        <v>123</v>
      </c>
      <c r="AB2" s="297" t="s">
        <v>124</v>
      </c>
      <c r="AC2" s="298" t="s">
        <v>125</v>
      </c>
      <c r="AD2" s="299" t="s">
        <v>123</v>
      </c>
      <c r="AE2" s="300" t="s">
        <v>124</v>
      </c>
      <c r="AF2" s="301" t="s">
        <v>125</v>
      </c>
      <c r="AG2" s="302" t="s">
        <v>123</v>
      </c>
      <c r="AH2" s="303" t="s">
        <v>124</v>
      </c>
      <c r="AI2" s="293" t="s">
        <v>125</v>
      </c>
      <c r="AJ2" s="304" t="s">
        <v>123</v>
      </c>
      <c r="AK2" s="305" t="s">
        <v>124</v>
      </c>
      <c r="AL2" s="306" t="s">
        <v>125</v>
      </c>
      <c r="AM2" s="307" t="s">
        <v>123</v>
      </c>
      <c r="AN2" s="308" t="s">
        <v>124</v>
      </c>
      <c r="AO2" s="309" t="s">
        <v>125</v>
      </c>
      <c r="AP2" s="310" t="s">
        <v>123</v>
      </c>
      <c r="AQ2" s="311" t="s">
        <v>124</v>
      </c>
      <c r="AR2" s="312" t="s">
        <v>125</v>
      </c>
      <c r="AS2" s="313"/>
      <c r="AT2" s="314" t="s">
        <v>123</v>
      </c>
      <c r="AU2" s="315" t="s">
        <v>124</v>
      </c>
      <c r="AV2" s="316" t="s">
        <v>125</v>
      </c>
    </row>
    <row r="3" spans="1:48" ht="30" x14ac:dyDescent="0.25">
      <c r="A3" s="318">
        <f>IF(LEN(C3)&gt;0,VLOOKUP(C3,'1. Lists'!$E$3:$J$52,6,FALSE),"")</f>
        <v>1</v>
      </c>
      <c r="B3" s="319" t="s">
        <v>225</v>
      </c>
      <c r="C3" s="320" t="s">
        <v>362</v>
      </c>
      <c r="D3" s="321"/>
      <c r="E3" s="318">
        <f>IF(LEN(F3)&gt;0,VLOOKUP(F3,'1. Lists'!$T:$U,2,FALSE),"")</f>
        <v>62</v>
      </c>
      <c r="F3" s="322" t="s">
        <v>865</v>
      </c>
      <c r="G3" s="323"/>
      <c r="H3" s="324"/>
      <c r="I3" s="325">
        <v>0</v>
      </c>
      <c r="J3" s="326">
        <v>750161.36670163553</v>
      </c>
      <c r="K3" s="327">
        <v>284.10506201950164</v>
      </c>
      <c r="L3" s="328">
        <v>0</v>
      </c>
      <c r="M3" s="329">
        <v>619825.50616527256</v>
      </c>
      <c r="N3" s="330">
        <v>2418.9710217940192</v>
      </c>
      <c r="O3" s="331">
        <v>0</v>
      </c>
      <c r="P3" s="332">
        <v>619801.89550337906</v>
      </c>
      <c r="Q3" s="322">
        <v>744.89937667494394</v>
      </c>
      <c r="R3" s="333">
        <v>0</v>
      </c>
      <c r="S3" s="334">
        <v>610435.46287763631</v>
      </c>
      <c r="T3" s="335">
        <v>346.10965870642912</v>
      </c>
      <c r="U3" s="336">
        <v>0</v>
      </c>
      <c r="V3" s="337">
        <v>857953.88590859878</v>
      </c>
      <c r="W3" s="338">
        <v>438.11494102110839</v>
      </c>
      <c r="X3" s="339">
        <v>0</v>
      </c>
      <c r="Y3" s="340">
        <v>628589.33300329035</v>
      </c>
      <c r="Z3" s="341">
        <v>4340.159602216665</v>
      </c>
      <c r="AA3" s="325">
        <v>0</v>
      </c>
      <c r="AB3" s="326">
        <v>663407.25235377112</v>
      </c>
      <c r="AC3" s="327">
        <v>284.10506201950164</v>
      </c>
      <c r="AD3" s="328">
        <v>0</v>
      </c>
      <c r="AE3" s="329">
        <v>620837.08658388676</v>
      </c>
      <c r="AF3" s="330">
        <v>2191.9388062326543</v>
      </c>
      <c r="AG3" s="331">
        <v>0</v>
      </c>
      <c r="AH3" s="332">
        <v>670436.32436928817</v>
      </c>
      <c r="AI3" s="322">
        <v>3536.961595902927</v>
      </c>
      <c r="AJ3" s="333">
        <v>0</v>
      </c>
      <c r="AK3" s="334">
        <v>589545.01025663409</v>
      </c>
      <c r="AL3" s="335">
        <v>284.10506201950164</v>
      </c>
      <c r="AM3" s="336">
        <v>0</v>
      </c>
      <c r="AN3" s="337">
        <v>652082.58227868006</v>
      </c>
      <c r="AO3" s="338">
        <v>284.10506201950164</v>
      </c>
      <c r="AP3" s="339">
        <v>0</v>
      </c>
      <c r="AQ3" s="340">
        <v>754165.17399792629</v>
      </c>
      <c r="AR3" s="341">
        <v>46.424749373246797</v>
      </c>
      <c r="AS3" s="342"/>
      <c r="AT3" s="343">
        <f t="shared" ref="AT3:AV10" si="0">AP3+AM3+AJ3+AG3+AD3+AA3+X3+U3+R3+O3+L3+I3</f>
        <v>0</v>
      </c>
      <c r="AU3" s="344">
        <f t="shared" si="0"/>
        <v>8037240.879999999</v>
      </c>
      <c r="AV3" s="345">
        <f t="shared" si="0"/>
        <v>15200.000000000004</v>
      </c>
    </row>
    <row r="4" spans="1:48" ht="45" x14ac:dyDescent="0.25">
      <c r="A4" s="347">
        <f>IF(LEN(C4)&gt;0,VLOOKUP(C4,'1. Lists'!$E$3:$J$52,6,FALSE),"")</f>
        <v>1</v>
      </c>
      <c r="B4" s="348" t="s">
        <v>362</v>
      </c>
      <c r="C4" s="320" t="s">
        <v>362</v>
      </c>
      <c r="D4" s="349"/>
      <c r="E4" s="347">
        <f>IF(LEN(F4)&gt;0,VLOOKUP(F4,'1. Lists'!$T:$U,2,FALSE),"")</f>
        <v>63</v>
      </c>
      <c r="F4" s="350" t="s">
        <v>441</v>
      </c>
      <c r="G4" s="351"/>
      <c r="H4" s="352"/>
      <c r="I4" s="353">
        <v>0</v>
      </c>
      <c r="J4" s="354">
        <v>215717.78328121803</v>
      </c>
      <c r="K4" s="355">
        <v>0</v>
      </c>
      <c r="L4" s="356">
        <v>0</v>
      </c>
      <c r="M4" s="357">
        <v>178238.16334214323</v>
      </c>
      <c r="N4" s="358">
        <v>0</v>
      </c>
      <c r="O4" s="359">
        <v>0</v>
      </c>
      <c r="P4" s="360">
        <v>178231.37381675371</v>
      </c>
      <c r="Q4" s="350">
        <v>0</v>
      </c>
      <c r="R4" s="361">
        <v>0</v>
      </c>
      <c r="S4" s="362">
        <v>175537.94521196961</v>
      </c>
      <c r="T4" s="363">
        <v>0</v>
      </c>
      <c r="U4" s="364">
        <v>0</v>
      </c>
      <c r="V4" s="365">
        <v>246714.79849657588</v>
      </c>
      <c r="W4" s="366">
        <v>0</v>
      </c>
      <c r="X4" s="367">
        <v>0</v>
      </c>
      <c r="Y4" s="368">
        <v>180758.30551751281</v>
      </c>
      <c r="Z4" s="369">
        <v>0</v>
      </c>
      <c r="AA4" s="353">
        <v>0</v>
      </c>
      <c r="AB4" s="354">
        <v>190770.61048834081</v>
      </c>
      <c r="AC4" s="355">
        <v>0</v>
      </c>
      <c r="AD4" s="356">
        <v>0</v>
      </c>
      <c r="AE4" s="357">
        <v>178529.05526913438</v>
      </c>
      <c r="AF4" s="358">
        <v>0</v>
      </c>
      <c r="AG4" s="359">
        <v>0</v>
      </c>
      <c r="AH4" s="360">
        <v>192791.90337413465</v>
      </c>
      <c r="AI4" s="350">
        <v>0</v>
      </c>
      <c r="AJ4" s="361">
        <v>0</v>
      </c>
      <c r="AK4" s="362">
        <v>169530.64820738227</v>
      </c>
      <c r="AL4" s="363">
        <v>0</v>
      </c>
      <c r="AM4" s="364">
        <v>0</v>
      </c>
      <c r="AN4" s="365">
        <v>187514.06751848481</v>
      </c>
      <c r="AO4" s="366">
        <v>0</v>
      </c>
      <c r="AP4" s="367">
        <v>0</v>
      </c>
      <c r="AQ4" s="368">
        <v>216869.12547634941</v>
      </c>
      <c r="AR4" s="369">
        <v>0</v>
      </c>
      <c r="AS4" s="370"/>
      <c r="AT4" s="371">
        <f t="shared" si="0"/>
        <v>0</v>
      </c>
      <c r="AU4" s="372">
        <f t="shared" si="0"/>
        <v>2311203.7799999993</v>
      </c>
      <c r="AV4" s="373">
        <f t="shared" si="0"/>
        <v>0</v>
      </c>
    </row>
    <row r="5" spans="1:48" ht="30" x14ac:dyDescent="0.25">
      <c r="A5" s="347">
        <f>IF(LEN(C5)&gt;0,VLOOKUP(C5,'1. Lists'!$E$3:$J$52,6,FALSE),"")</f>
        <v>8</v>
      </c>
      <c r="B5" s="319" t="s">
        <v>866</v>
      </c>
      <c r="C5" s="374" t="s">
        <v>367</v>
      </c>
      <c r="D5" s="349"/>
      <c r="E5" s="347">
        <f>IF(LEN(F5)&gt;0,VLOOKUP(F5,'1. Lists'!$T:$U,2,FALSE),"")</f>
        <v>64</v>
      </c>
      <c r="F5" s="350" t="s">
        <v>435</v>
      </c>
      <c r="G5" s="351"/>
      <c r="H5" s="352"/>
      <c r="I5" s="353">
        <v>3400.9933206637816</v>
      </c>
      <c r="J5" s="354">
        <v>588528.39908533706</v>
      </c>
      <c r="K5" s="355">
        <v>898.48225863667392</v>
      </c>
      <c r="L5" s="356">
        <v>1109.8859045142187</v>
      </c>
      <c r="M5" s="357">
        <v>486275.25896144134</v>
      </c>
      <c r="N5" s="358">
        <v>7649.9958564235867</v>
      </c>
      <c r="O5" s="359">
        <v>1253.9104943770578</v>
      </c>
      <c r="P5" s="360">
        <v>486256.73555346223</v>
      </c>
      <c r="Q5" s="350">
        <v>2355.7442787345099</v>
      </c>
      <c r="R5" s="361">
        <v>1418.9527297392563</v>
      </c>
      <c r="S5" s="362">
        <v>478908.43445045233</v>
      </c>
      <c r="T5" s="363">
        <v>1094.571795659082</v>
      </c>
      <c r="U5" s="364">
        <v>1492.1519037535816</v>
      </c>
      <c r="V5" s="365">
        <v>673095.48235327797</v>
      </c>
      <c r="W5" s="366">
        <v>1385.5385009792553</v>
      </c>
      <c r="X5" s="367">
        <v>3127.76522992631</v>
      </c>
      <c r="Y5" s="368">
        <v>493150.7942899504</v>
      </c>
      <c r="Z5" s="369">
        <v>13725.754742010202</v>
      </c>
      <c r="AA5" s="353">
        <v>1402.8973432650102</v>
      </c>
      <c r="AB5" s="354">
        <v>520466.69623371295</v>
      </c>
      <c r="AC5" s="355">
        <v>898.48225863667392</v>
      </c>
      <c r="AD5" s="356">
        <v>1547.8579440256019</v>
      </c>
      <c r="AE5" s="357">
        <v>487068.87994852406</v>
      </c>
      <c r="AF5" s="358">
        <v>6932.006474710769</v>
      </c>
      <c r="AG5" s="359">
        <v>2798.4003127756387</v>
      </c>
      <c r="AH5" s="360">
        <v>525981.25441275758</v>
      </c>
      <c r="AI5" s="350">
        <v>11185.641047043007</v>
      </c>
      <c r="AJ5" s="361">
        <v>733.90231156325126</v>
      </c>
      <c r="AK5" s="362">
        <v>462519.12785197422</v>
      </c>
      <c r="AL5" s="363">
        <v>898.48225863667392</v>
      </c>
      <c r="AM5" s="364">
        <v>561.0457362154325</v>
      </c>
      <c r="AN5" s="365">
        <v>511582.08787435736</v>
      </c>
      <c r="AO5" s="366">
        <v>898.48225863667392</v>
      </c>
      <c r="AP5" s="367">
        <v>2152.2367691808595</v>
      </c>
      <c r="AQ5" s="368">
        <v>591669.52898475155</v>
      </c>
      <c r="AR5" s="369">
        <v>146.818269892893</v>
      </c>
      <c r="AS5" s="370"/>
      <c r="AT5" s="371">
        <f t="shared" si="0"/>
        <v>21000</v>
      </c>
      <c r="AU5" s="372">
        <f t="shared" si="0"/>
        <v>6305502.6799999988</v>
      </c>
      <c r="AV5" s="373">
        <f t="shared" si="0"/>
        <v>48069.999999999993</v>
      </c>
    </row>
    <row r="6" spans="1:48" ht="30" x14ac:dyDescent="0.25">
      <c r="A6" s="347">
        <f>IF(LEN(C6)&gt;0,VLOOKUP(C6,'1. Lists'!$E$3:$J$52,6,FALSE),"")</f>
        <v>16</v>
      </c>
      <c r="B6" s="348" t="s">
        <v>360</v>
      </c>
      <c r="C6" s="374" t="s">
        <v>374</v>
      </c>
      <c r="D6" s="349"/>
      <c r="E6" s="347">
        <f>IF(LEN(F6)&gt;0,VLOOKUP(F6,'1. Lists'!$T:$U,2,FALSE),"")</f>
        <v>67</v>
      </c>
      <c r="F6" s="350" t="s">
        <v>437</v>
      </c>
      <c r="G6" s="351"/>
      <c r="H6" s="352"/>
      <c r="I6" s="353">
        <v>16573989.004826946</v>
      </c>
      <c r="J6" s="354">
        <v>1939029.8758204163</v>
      </c>
      <c r="K6" s="355">
        <v>0</v>
      </c>
      <c r="L6" s="356">
        <v>5408783.5651617274</v>
      </c>
      <c r="M6" s="357">
        <v>1602135.5238998802</v>
      </c>
      <c r="N6" s="358">
        <v>0</v>
      </c>
      <c r="O6" s="359">
        <v>6110655.5607072869</v>
      </c>
      <c r="P6" s="360">
        <v>1602074.4946589307</v>
      </c>
      <c r="Q6" s="350">
        <v>0</v>
      </c>
      <c r="R6" s="361">
        <v>6914952.4046926377</v>
      </c>
      <c r="S6" s="362">
        <v>1577863.9800985379</v>
      </c>
      <c r="T6" s="363">
        <v>0</v>
      </c>
      <c r="U6" s="364">
        <v>7271672.3952626456</v>
      </c>
      <c r="V6" s="365">
        <v>2217653.8151619625</v>
      </c>
      <c r="W6" s="366">
        <v>0</v>
      </c>
      <c r="X6" s="367">
        <v>15242472.314047653</v>
      </c>
      <c r="Y6" s="368">
        <v>1624788.4127578482</v>
      </c>
      <c r="Z6" s="369">
        <v>0</v>
      </c>
      <c r="AA6" s="353">
        <v>6836710.0284798946</v>
      </c>
      <c r="AB6" s="354">
        <v>1714786.3636405147</v>
      </c>
      <c r="AC6" s="355">
        <v>0</v>
      </c>
      <c r="AD6" s="356">
        <v>7543143.4661880983</v>
      </c>
      <c r="AE6" s="357">
        <v>1604750.2741930236</v>
      </c>
      <c r="AF6" s="358">
        <v>0</v>
      </c>
      <c r="AG6" s="359">
        <v>13637385.211328635</v>
      </c>
      <c r="AH6" s="360">
        <v>1732955.2286905884</v>
      </c>
      <c r="AI6" s="350">
        <v>0</v>
      </c>
      <c r="AJ6" s="361">
        <v>3576510.6530971909</v>
      </c>
      <c r="AK6" s="362">
        <v>1523865.9824015368</v>
      </c>
      <c r="AL6" s="363">
        <v>0</v>
      </c>
      <c r="AM6" s="364">
        <v>2734132.3509052796</v>
      </c>
      <c r="AN6" s="365">
        <v>1685514.1635724662</v>
      </c>
      <c r="AO6" s="366">
        <v>0</v>
      </c>
      <c r="AP6" s="367">
        <v>10488450.045301998</v>
      </c>
      <c r="AQ6" s="368">
        <v>1949378.9851042903</v>
      </c>
      <c r="AR6" s="369">
        <v>0</v>
      </c>
      <c r="AS6" s="370"/>
      <c r="AT6" s="371">
        <f t="shared" si="0"/>
        <v>102338856.99999999</v>
      </c>
      <c r="AU6" s="372">
        <f t="shared" si="0"/>
        <v>20774797.099999998</v>
      </c>
      <c r="AV6" s="373">
        <f t="shared" si="0"/>
        <v>0</v>
      </c>
    </row>
    <row r="7" spans="1:48" ht="45" x14ac:dyDescent="0.25">
      <c r="A7" s="347">
        <f>IF(LEN(C7)&gt;0,VLOOKUP(C7,'1. Lists'!$E$3:$J$52,6,FALSE),"")</f>
        <v>5</v>
      </c>
      <c r="B7" s="348" t="s">
        <v>362</v>
      </c>
      <c r="C7" s="374" t="s">
        <v>186</v>
      </c>
      <c r="D7" s="349"/>
      <c r="E7" s="347">
        <f>IF(LEN(F7)&gt;0,VLOOKUP(F7,'1. Lists'!$T:$U,2,FALSE),"")</f>
        <v>63</v>
      </c>
      <c r="F7" s="350" t="s">
        <v>441</v>
      </c>
      <c r="G7" s="351"/>
      <c r="H7" s="352"/>
      <c r="I7" s="353">
        <v>58302.742639950542</v>
      </c>
      <c r="J7" s="354">
        <v>488167.36539586465</v>
      </c>
      <c r="K7" s="355">
        <v>181.11697703743229</v>
      </c>
      <c r="L7" s="356">
        <v>19026.615505958034</v>
      </c>
      <c r="M7" s="357">
        <v>403351.32916836155</v>
      </c>
      <c r="N7" s="358">
        <v>1542.0940263936873</v>
      </c>
      <c r="O7" s="359">
        <v>21495.608475035275</v>
      </c>
      <c r="P7" s="360">
        <v>403335.9645346661</v>
      </c>
      <c r="Q7" s="350">
        <v>474.87335263027671</v>
      </c>
      <c r="R7" s="361">
        <v>24324.903938387251</v>
      </c>
      <c r="S7" s="362">
        <v>397240.76030124776</v>
      </c>
      <c r="T7" s="363">
        <v>220.64490742534855</v>
      </c>
      <c r="U7" s="364">
        <v>25579.746921489972</v>
      </c>
      <c r="V7" s="365">
        <v>558313.32658020733</v>
      </c>
      <c r="W7" s="366">
        <v>279.29827490095659</v>
      </c>
      <c r="X7" s="367">
        <v>53618.832513022455</v>
      </c>
      <c r="Y7" s="368">
        <v>409054.38780108147</v>
      </c>
      <c r="Z7" s="369">
        <v>2766.8517464131237</v>
      </c>
      <c r="AA7" s="353">
        <v>24049.668741685888</v>
      </c>
      <c r="AB7" s="354">
        <v>431712.14213549008</v>
      </c>
      <c r="AC7" s="355">
        <v>181.11697703743229</v>
      </c>
      <c r="AD7" s="356">
        <v>26534.707611867459</v>
      </c>
      <c r="AE7" s="357">
        <v>404009.61493161297</v>
      </c>
      <c r="AF7" s="358">
        <v>1397.360988973317</v>
      </c>
      <c r="AG7" s="359">
        <v>47972.576790439518</v>
      </c>
      <c r="AH7" s="360">
        <v>436286.30940043472</v>
      </c>
      <c r="AI7" s="350">
        <v>2254.8130173881159</v>
      </c>
      <c r="AJ7" s="361">
        <v>12581.182483941449</v>
      </c>
      <c r="AK7" s="362">
        <v>383646.30226782325</v>
      </c>
      <c r="AL7" s="363">
        <v>181.11697703743229</v>
      </c>
      <c r="AM7" s="364">
        <v>9617.9269065502722</v>
      </c>
      <c r="AN7" s="365">
        <v>424342.61525777041</v>
      </c>
      <c r="AO7" s="366">
        <v>181.11697703743229</v>
      </c>
      <c r="AP7" s="367">
        <v>36895.487471671877</v>
      </c>
      <c r="AQ7" s="368">
        <v>490772.84222543909</v>
      </c>
      <c r="AR7" s="369">
        <v>29.595777725444833</v>
      </c>
      <c r="AS7" s="370"/>
      <c r="AT7" s="371">
        <f t="shared" si="0"/>
        <v>360000</v>
      </c>
      <c r="AU7" s="372">
        <f t="shared" si="0"/>
        <v>5230232.959999999</v>
      </c>
      <c r="AV7" s="373">
        <f t="shared" si="0"/>
        <v>9690</v>
      </c>
    </row>
    <row r="8" spans="1:48" ht="30" x14ac:dyDescent="0.25">
      <c r="A8" s="347">
        <f>IF(LEN(C8)&gt;0,VLOOKUP(C8,'1. Lists'!$E$3:$J$52,6,FALSE),"")</f>
        <v>20</v>
      </c>
      <c r="B8" s="348" t="s">
        <v>360</v>
      </c>
      <c r="C8" s="374" t="s">
        <v>273</v>
      </c>
      <c r="D8" s="349"/>
      <c r="E8" s="347">
        <f>IF(LEN(F8)&gt;0,VLOOKUP(F8,'1. Lists'!$T:$U,2,FALSE),"")</f>
        <v>70</v>
      </c>
      <c r="F8" s="350" t="s">
        <v>658</v>
      </c>
      <c r="G8" s="351"/>
      <c r="H8" s="352"/>
      <c r="I8" s="353">
        <v>0</v>
      </c>
      <c r="J8" s="354">
        <v>310479.85575572902</v>
      </c>
      <c r="K8" s="355">
        <v>7102.626550487541</v>
      </c>
      <c r="L8" s="356">
        <v>0</v>
      </c>
      <c r="M8" s="357">
        <v>256535.91652428661</v>
      </c>
      <c r="N8" s="358">
        <v>60474.275544850483</v>
      </c>
      <c r="O8" s="359">
        <v>0</v>
      </c>
      <c r="P8" s="360">
        <v>256526.14444693844</v>
      </c>
      <c r="Q8" s="350">
        <v>18622.484416873598</v>
      </c>
      <c r="R8" s="361">
        <v>0</v>
      </c>
      <c r="S8" s="362">
        <v>252649.52698878694</v>
      </c>
      <c r="T8" s="363">
        <v>8652.7414676607277</v>
      </c>
      <c r="U8" s="364">
        <v>0</v>
      </c>
      <c r="V8" s="365">
        <v>355093.46464107663</v>
      </c>
      <c r="W8" s="366">
        <v>10952.87352552771</v>
      </c>
      <c r="X8" s="367">
        <v>0</v>
      </c>
      <c r="Y8" s="368">
        <v>260163.12503343687</v>
      </c>
      <c r="Z8" s="369">
        <v>108503.99005541662</v>
      </c>
      <c r="AA8" s="353">
        <v>0</v>
      </c>
      <c r="AB8" s="354">
        <v>274573.70795266028</v>
      </c>
      <c r="AC8" s="355">
        <v>7102.626550487541</v>
      </c>
      <c r="AD8" s="356">
        <v>0</v>
      </c>
      <c r="AE8" s="357">
        <v>256954.59356685093</v>
      </c>
      <c r="AF8" s="358">
        <v>54798.470155816358</v>
      </c>
      <c r="AG8" s="359">
        <v>0</v>
      </c>
      <c r="AH8" s="360">
        <v>277482.92903807823</v>
      </c>
      <c r="AI8" s="350">
        <v>88424.03989757318</v>
      </c>
      <c r="AJ8" s="361">
        <v>0</v>
      </c>
      <c r="AK8" s="362">
        <v>244003.30098416202</v>
      </c>
      <c r="AL8" s="363">
        <v>7102.626550487541</v>
      </c>
      <c r="AM8" s="364">
        <v>0</v>
      </c>
      <c r="AN8" s="365">
        <v>269886.60716679168</v>
      </c>
      <c r="AO8" s="366">
        <v>7102.626550487541</v>
      </c>
      <c r="AP8" s="367">
        <v>0</v>
      </c>
      <c r="AQ8" s="368">
        <v>312136.96790120221</v>
      </c>
      <c r="AR8" s="369">
        <v>1160.6187343311699</v>
      </c>
      <c r="AS8" s="370"/>
      <c r="AT8" s="371">
        <f t="shared" si="0"/>
        <v>0</v>
      </c>
      <c r="AU8" s="372">
        <f t="shared" si="0"/>
        <v>3326486.14</v>
      </c>
      <c r="AV8" s="373">
        <f t="shared" si="0"/>
        <v>380000</v>
      </c>
    </row>
    <row r="9" spans="1:48" ht="30" x14ac:dyDescent="0.25">
      <c r="A9" s="347">
        <f>IF(LEN(C9)&gt;0,VLOOKUP(C9,'1. Lists'!$E$3:$J$52,6,FALSE),"")</f>
        <v>22</v>
      </c>
      <c r="B9" s="348" t="s">
        <v>361</v>
      </c>
      <c r="C9" s="374" t="s">
        <v>379</v>
      </c>
      <c r="D9" s="349"/>
      <c r="E9" s="347">
        <f>IF(LEN(F9)&gt;0,VLOOKUP(F9,'1. Lists'!$T:$U,2,FALSE),"")</f>
        <v>73</v>
      </c>
      <c r="F9" s="350" t="s">
        <v>867</v>
      </c>
      <c r="G9" s="351"/>
      <c r="H9" s="352"/>
      <c r="I9" s="353">
        <v>493296.59033948951</v>
      </c>
      <c r="J9" s="354">
        <v>393056.61321035452</v>
      </c>
      <c r="K9" s="355">
        <v>6623.1992583296314</v>
      </c>
      <c r="L9" s="356">
        <v>160983.24246513564</v>
      </c>
      <c r="M9" s="357">
        <v>324765.47720113961</v>
      </c>
      <c r="N9" s="358">
        <v>56392.261945573075</v>
      </c>
      <c r="O9" s="359">
        <v>181873.26852684972</v>
      </c>
      <c r="P9" s="360">
        <v>324753.1060937866</v>
      </c>
      <c r="Q9" s="350">
        <v>17365.466718734631</v>
      </c>
      <c r="R9" s="361">
        <v>205811.79597749762</v>
      </c>
      <c r="S9" s="362">
        <v>319845.44429040066</v>
      </c>
      <c r="T9" s="363">
        <v>8068.6814185936282</v>
      </c>
      <c r="U9" s="364">
        <v>216428.95971538057</v>
      </c>
      <c r="V9" s="365">
        <v>449535.87808531104</v>
      </c>
      <c r="W9" s="366">
        <v>10213.554562554589</v>
      </c>
      <c r="X9" s="367">
        <v>453666.26095105731</v>
      </c>
      <c r="Y9" s="368">
        <v>329357.39601836575</v>
      </c>
      <c r="Z9" s="369">
        <v>101179.97072667599</v>
      </c>
      <c r="AA9" s="353">
        <v>203483.04473996721</v>
      </c>
      <c r="AB9" s="354">
        <v>347600.6888169595</v>
      </c>
      <c r="AC9" s="355">
        <v>6623.1992583296314</v>
      </c>
      <c r="AD9" s="356">
        <v>224508.83436862999</v>
      </c>
      <c r="AE9" s="357">
        <v>325295.50765989092</v>
      </c>
      <c r="AF9" s="358">
        <v>51099.573420298751</v>
      </c>
      <c r="AG9" s="359">
        <v>405893.57359506923</v>
      </c>
      <c r="AH9" s="360">
        <v>351283.66072549514</v>
      </c>
      <c r="AI9" s="350">
        <v>82455.417204486992</v>
      </c>
      <c r="AJ9" s="361">
        <v>106448.75593750441</v>
      </c>
      <c r="AK9" s="362">
        <v>308899.62527049327</v>
      </c>
      <c r="AL9" s="363">
        <v>6623.1992583296314</v>
      </c>
      <c r="AM9" s="364">
        <v>81376.798659976528</v>
      </c>
      <c r="AN9" s="365">
        <v>341666.9835329731</v>
      </c>
      <c r="AO9" s="366">
        <v>6623.1992583296314</v>
      </c>
      <c r="AP9" s="367">
        <v>312170.87472344213</v>
      </c>
      <c r="AQ9" s="368">
        <v>395154.45909482922</v>
      </c>
      <c r="AR9" s="369">
        <v>1082.2769697638159</v>
      </c>
      <c r="AS9" s="370"/>
      <c r="AT9" s="371">
        <f t="shared" si="0"/>
        <v>3045942</v>
      </c>
      <c r="AU9" s="372">
        <f t="shared" si="0"/>
        <v>4211214.8399999989</v>
      </c>
      <c r="AV9" s="373">
        <f t="shared" si="0"/>
        <v>354350.00000000006</v>
      </c>
    </row>
    <row r="10" spans="1:48" ht="45" x14ac:dyDescent="0.25">
      <c r="A10" s="347">
        <f>IF(LEN(C10)&gt;0,VLOOKUP(C10,'1. Lists'!$E$3:$J$52,6,FALSE),"")</f>
        <v>7</v>
      </c>
      <c r="B10" s="348" t="s">
        <v>362</v>
      </c>
      <c r="C10" s="374" t="s">
        <v>366</v>
      </c>
      <c r="D10" s="349"/>
      <c r="E10" s="347">
        <f>IF(LEN(F10)&gt;0,VLOOKUP(F10,'1. Lists'!$T:$U,2,FALSE),"")</f>
        <v>63</v>
      </c>
      <c r="F10" s="350" t="s">
        <v>441</v>
      </c>
      <c r="G10" s="351"/>
      <c r="H10" s="352"/>
      <c r="I10" s="353">
        <v>0</v>
      </c>
      <c r="J10" s="354">
        <v>26583.626549762739</v>
      </c>
      <c r="K10" s="355">
        <v>0</v>
      </c>
      <c r="L10" s="356">
        <v>0</v>
      </c>
      <c r="M10" s="357">
        <v>21964.887174026931</v>
      </c>
      <c r="N10" s="358">
        <v>0</v>
      </c>
      <c r="O10" s="359">
        <v>0</v>
      </c>
      <c r="P10" s="360">
        <v>21964.050478022269</v>
      </c>
      <c r="Q10" s="350">
        <v>0</v>
      </c>
      <c r="R10" s="361">
        <v>0</v>
      </c>
      <c r="S10" s="362">
        <v>21632.130229821469</v>
      </c>
      <c r="T10" s="363">
        <v>0</v>
      </c>
      <c r="U10" s="364">
        <v>0</v>
      </c>
      <c r="V10" s="365">
        <v>30403.49278475075</v>
      </c>
      <c r="W10" s="366">
        <v>0</v>
      </c>
      <c r="X10" s="367">
        <v>0</v>
      </c>
      <c r="Y10" s="368">
        <v>22275.452753847461</v>
      </c>
      <c r="Z10" s="369">
        <v>0</v>
      </c>
      <c r="AA10" s="353">
        <v>0</v>
      </c>
      <c r="AB10" s="354">
        <v>23509.302704455586</v>
      </c>
      <c r="AC10" s="355">
        <v>0</v>
      </c>
      <c r="AD10" s="356">
        <v>0</v>
      </c>
      <c r="AE10" s="357">
        <v>22000.734762648735</v>
      </c>
      <c r="AF10" s="358">
        <v>0</v>
      </c>
      <c r="AG10" s="359">
        <v>0</v>
      </c>
      <c r="AH10" s="360">
        <v>23758.393411796977</v>
      </c>
      <c r="AI10" s="350">
        <v>0</v>
      </c>
      <c r="AJ10" s="361">
        <v>0</v>
      </c>
      <c r="AK10" s="362">
        <v>20891.830854802982</v>
      </c>
      <c r="AL10" s="363">
        <v>0</v>
      </c>
      <c r="AM10" s="364">
        <v>0</v>
      </c>
      <c r="AN10" s="365">
        <v>23107.987982798863</v>
      </c>
      <c r="AO10" s="366">
        <v>0</v>
      </c>
      <c r="AP10" s="367">
        <v>0</v>
      </c>
      <c r="AQ10" s="368">
        <v>26725.51031326524</v>
      </c>
      <c r="AR10" s="369">
        <v>0</v>
      </c>
      <c r="AS10" s="370"/>
      <c r="AT10" s="371">
        <f t="shared" si="0"/>
        <v>0</v>
      </c>
      <c r="AU10" s="372">
        <f t="shared" si="0"/>
        <v>284817.40000000002</v>
      </c>
      <c r="AV10" s="373">
        <f t="shared" si="0"/>
        <v>0</v>
      </c>
    </row>
    <row r="11" spans="1:48" ht="45" x14ac:dyDescent="0.25">
      <c r="A11" s="347">
        <f>IF(LEN(C11)&gt;0,VLOOKUP(C11,'1. Lists'!$E$3:$J$52,6,FALSE),"")</f>
        <v>2</v>
      </c>
      <c r="B11" s="348" t="s">
        <v>362</v>
      </c>
      <c r="C11" s="374" t="s">
        <v>363</v>
      </c>
      <c r="D11" s="349"/>
      <c r="E11" s="347">
        <f>IF(LEN(F11)&gt;0,VLOOKUP(F11,'1. Lists'!$T:$U,2,FALSE),"")</f>
        <v>63</v>
      </c>
      <c r="F11" s="350" t="s">
        <v>441</v>
      </c>
      <c r="G11" s="351"/>
      <c r="H11" s="352"/>
      <c r="I11" s="353">
        <v>0</v>
      </c>
      <c r="J11" s="354">
        <v>160623.22486369294</v>
      </c>
      <c r="K11" s="355">
        <v>0</v>
      </c>
      <c r="L11" s="356">
        <v>0</v>
      </c>
      <c r="M11" s="357">
        <v>132715.94095918644</v>
      </c>
      <c r="N11" s="358">
        <v>0</v>
      </c>
      <c r="O11" s="359">
        <v>0</v>
      </c>
      <c r="P11" s="360">
        <v>132710.88548602714</v>
      </c>
      <c r="Q11" s="350">
        <v>0</v>
      </c>
      <c r="R11" s="361">
        <v>0</v>
      </c>
      <c r="S11" s="362">
        <v>130705.36150066082</v>
      </c>
      <c r="T11" s="363">
        <v>0</v>
      </c>
      <c r="U11" s="364">
        <v>0</v>
      </c>
      <c r="V11" s="365">
        <v>183703.56840008617</v>
      </c>
      <c r="W11" s="366">
        <v>0</v>
      </c>
      <c r="X11" s="367">
        <v>0</v>
      </c>
      <c r="Y11" s="368">
        <v>134592.43605924575</v>
      </c>
      <c r="Z11" s="369">
        <v>0</v>
      </c>
      <c r="AA11" s="353">
        <v>0</v>
      </c>
      <c r="AB11" s="354">
        <v>142047.58736050242</v>
      </c>
      <c r="AC11" s="355">
        <v>0</v>
      </c>
      <c r="AD11" s="356">
        <v>0</v>
      </c>
      <c r="AE11" s="357">
        <v>132932.5387690166</v>
      </c>
      <c r="AF11" s="358">
        <v>0</v>
      </c>
      <c r="AG11" s="359">
        <v>0</v>
      </c>
      <c r="AH11" s="360">
        <v>143552.63982660809</v>
      </c>
      <c r="AI11" s="350">
        <v>0</v>
      </c>
      <c r="AJ11" s="361">
        <v>0</v>
      </c>
      <c r="AK11" s="362">
        <v>126232.33473896389</v>
      </c>
      <c r="AL11" s="363">
        <v>0</v>
      </c>
      <c r="AM11" s="364">
        <v>0</v>
      </c>
      <c r="AN11" s="365">
        <v>139622.76903644446</v>
      </c>
      <c r="AO11" s="366">
        <v>0</v>
      </c>
      <c r="AP11" s="367">
        <v>0</v>
      </c>
      <c r="AQ11" s="368">
        <v>161480.51299956517</v>
      </c>
      <c r="AR11" s="369">
        <v>0</v>
      </c>
      <c r="AS11" s="370"/>
      <c r="AT11" s="371">
        <f t="shared" ref="AT11:AT23" si="1">AP11+AM11+AJ11+AG11+AD11+AA11+X11+U11+R11+O11+L11+I11</f>
        <v>0</v>
      </c>
      <c r="AU11" s="372">
        <f t="shared" ref="AU11:AU23" si="2">AQ11+AN11+AK11+AH11+AE11+AB11+Y11+V11+S11+P11+M11+J11</f>
        <v>1720919.8</v>
      </c>
      <c r="AV11" s="373">
        <f t="shared" ref="AV11:AV23" si="3">AR11+AO11+AL11+AI11+AF11+AC11+Z11+W11+T11+Q11+N11+K11</f>
        <v>0</v>
      </c>
    </row>
    <row r="12" spans="1:48" x14ac:dyDescent="0.25">
      <c r="A12" s="347">
        <f>IF(LEN(C12)&gt;0,VLOOKUP(C12,'1. Lists'!$E$3:$J$52,6,FALSE),"")</f>
        <v>15</v>
      </c>
      <c r="B12" s="319" t="s">
        <v>866</v>
      </c>
      <c r="C12" s="374" t="s">
        <v>249</v>
      </c>
      <c r="D12" s="349"/>
      <c r="E12" s="347">
        <f>IF(LEN(F12)&gt;0,VLOOKUP(F12,'1. Lists'!$T:$U,2,FALSE),"")</f>
        <v>119</v>
      </c>
      <c r="F12" s="350" t="s">
        <v>868</v>
      </c>
      <c r="G12" s="351"/>
      <c r="H12" s="352"/>
      <c r="I12" s="353">
        <v>0</v>
      </c>
      <c r="J12" s="354">
        <v>131320.77467024184</v>
      </c>
      <c r="K12" s="355">
        <v>630.35810635576922</v>
      </c>
      <c r="L12" s="356">
        <v>0</v>
      </c>
      <c r="M12" s="357">
        <v>108504.60879888563</v>
      </c>
      <c r="N12" s="358">
        <v>5367.0919546054802</v>
      </c>
      <c r="O12" s="359">
        <v>0</v>
      </c>
      <c r="P12" s="360">
        <v>108500.4755942873</v>
      </c>
      <c r="Q12" s="350">
        <v>1652.7454919975319</v>
      </c>
      <c r="R12" s="361">
        <v>0</v>
      </c>
      <c r="S12" s="362">
        <v>106860.81879122191</v>
      </c>
      <c r="T12" s="363">
        <v>767.93080525488949</v>
      </c>
      <c r="U12" s="364">
        <v>0</v>
      </c>
      <c r="V12" s="365">
        <v>150190.57756099163</v>
      </c>
      <c r="W12" s="366">
        <v>972.06752539058425</v>
      </c>
      <c r="X12" s="367">
        <v>0</v>
      </c>
      <c r="Y12" s="368">
        <v>110038.77542026817</v>
      </c>
      <c r="Z12" s="369">
        <v>9629.7291174182246</v>
      </c>
      <c r="AA12" s="353">
        <v>0</v>
      </c>
      <c r="AB12" s="354">
        <v>116133.88554519373</v>
      </c>
      <c r="AC12" s="355">
        <v>630.35810635576922</v>
      </c>
      <c r="AD12" s="356">
        <v>0</v>
      </c>
      <c r="AE12" s="357">
        <v>108681.69273057055</v>
      </c>
      <c r="AF12" s="358">
        <v>4863.364226328702</v>
      </c>
      <c r="AG12" s="359">
        <v>0</v>
      </c>
      <c r="AH12" s="360">
        <v>117364.37170892302</v>
      </c>
      <c r="AI12" s="350">
        <v>7847.63354090962</v>
      </c>
      <c r="AJ12" s="361">
        <v>0</v>
      </c>
      <c r="AK12" s="362">
        <v>103203.80505634491</v>
      </c>
      <c r="AL12" s="363">
        <v>630.35810635576922</v>
      </c>
      <c r="AM12" s="364">
        <v>0</v>
      </c>
      <c r="AN12" s="365">
        <v>114151.42615291025</v>
      </c>
      <c r="AO12" s="366">
        <v>630.35810635576922</v>
      </c>
      <c r="AP12" s="367">
        <v>0</v>
      </c>
      <c r="AQ12" s="368">
        <v>132021.66797016084</v>
      </c>
      <c r="AR12" s="369">
        <v>103.00491267189133</v>
      </c>
      <c r="AS12" s="370"/>
      <c r="AT12" s="371">
        <f t="shared" si="1"/>
        <v>0</v>
      </c>
      <c r="AU12" s="372">
        <f t="shared" si="2"/>
        <v>1406972.88</v>
      </c>
      <c r="AV12" s="373">
        <f t="shared" si="3"/>
        <v>33725.000000000007</v>
      </c>
    </row>
    <row r="13" spans="1:48" ht="30" x14ac:dyDescent="0.25">
      <c r="A13" s="347">
        <f>IF(LEN(C13)&gt;0,VLOOKUP(C13,'1. Lists'!$E$3:$J$52,6,FALSE),"")</f>
        <v>21</v>
      </c>
      <c r="B13" s="348" t="s">
        <v>360</v>
      </c>
      <c r="C13" s="374" t="s">
        <v>378</v>
      </c>
      <c r="D13" s="349"/>
      <c r="E13" s="347">
        <f>IF(LEN(F13)&gt;0,VLOOKUP(F13,'1. Lists'!$T:$U,2,FALSE),"")</f>
        <v>143</v>
      </c>
      <c r="F13" s="350" t="s">
        <v>869</v>
      </c>
      <c r="G13" s="351"/>
      <c r="H13" s="352"/>
      <c r="I13" s="353">
        <v>691558.95353615063</v>
      </c>
      <c r="J13" s="354">
        <v>514019.75167071214</v>
      </c>
      <c r="K13" s="355">
        <v>1154.1768144542255</v>
      </c>
      <c r="L13" s="356">
        <v>225684.51693417967</v>
      </c>
      <c r="M13" s="357">
        <v>424712.02450627642</v>
      </c>
      <c r="N13" s="358">
        <v>9827.0697760382045</v>
      </c>
      <c r="O13" s="359">
        <v>254970.51818677218</v>
      </c>
      <c r="P13" s="360">
        <v>424695.8461917137</v>
      </c>
      <c r="Q13" s="350">
        <v>3026.1537177419596</v>
      </c>
      <c r="R13" s="361">
        <v>288530.253480246</v>
      </c>
      <c r="S13" s="362">
        <v>418277.85189604148</v>
      </c>
      <c r="T13" s="363">
        <v>1406.0704884948682</v>
      </c>
      <c r="U13" s="364">
        <v>303414.59443836863</v>
      </c>
      <c r="V13" s="365">
        <v>587880.50538873335</v>
      </c>
      <c r="W13" s="366">
        <v>1779.8419478982528</v>
      </c>
      <c r="X13" s="367">
        <v>636000.67550042435</v>
      </c>
      <c r="Y13" s="368">
        <v>430717.10593931528</v>
      </c>
      <c r="Z13" s="369">
        <v>17631.898384005199</v>
      </c>
      <c r="AA13" s="353">
        <v>285265.5466073195</v>
      </c>
      <c r="AB13" s="354">
        <v>454574.77050676197</v>
      </c>
      <c r="AC13" s="355">
        <v>1154.1768144542255</v>
      </c>
      <c r="AD13" s="356">
        <v>314741.87658329273</v>
      </c>
      <c r="AE13" s="357">
        <v>425405.17179251602</v>
      </c>
      <c r="AF13" s="358">
        <v>8904.7514003201577</v>
      </c>
      <c r="AG13" s="359">
        <v>569027.51914274483</v>
      </c>
      <c r="AH13" s="360">
        <v>459391.17669917614</v>
      </c>
      <c r="AI13" s="350">
        <v>14368.906483355642</v>
      </c>
      <c r="AJ13" s="361">
        <v>149231.90571964622</v>
      </c>
      <c r="AK13" s="362">
        <v>403963.45802669262</v>
      </c>
      <c r="AL13" s="363">
        <v>1154.1768144542255</v>
      </c>
      <c r="AM13" s="364">
        <v>114083.20030082783</v>
      </c>
      <c r="AN13" s="365">
        <v>446814.96793875488</v>
      </c>
      <c r="AO13" s="366">
        <v>1154.1768144542255</v>
      </c>
      <c r="AP13" s="367">
        <v>437636.43957002711</v>
      </c>
      <c r="AQ13" s="368">
        <v>516763.20944330533</v>
      </c>
      <c r="AR13" s="369">
        <v>188.60054432881512</v>
      </c>
      <c r="AS13" s="370"/>
      <c r="AT13" s="371">
        <f t="shared" si="1"/>
        <v>4270145.9999999991</v>
      </c>
      <c r="AU13" s="372">
        <f t="shared" si="2"/>
        <v>5507215.8399999999</v>
      </c>
      <c r="AV13" s="373">
        <f t="shared" si="3"/>
        <v>61750</v>
      </c>
    </row>
    <row r="14" spans="1:48" ht="30" x14ac:dyDescent="0.25">
      <c r="A14" s="347">
        <f>IF(LEN(C14)&gt;0,VLOOKUP(C14,'1. Lists'!$E$3:$J$52,6,FALSE),"")</f>
        <v>13</v>
      </c>
      <c r="B14" s="319" t="s">
        <v>866</v>
      </c>
      <c r="C14" s="374" t="s">
        <v>372</v>
      </c>
      <c r="D14" s="349"/>
      <c r="E14" s="347">
        <f>IF(LEN(F14)&gt;0,VLOOKUP(F14,'1. Lists'!$T:$U,2,FALSE),"")</f>
        <v>123</v>
      </c>
      <c r="F14" s="350" t="s">
        <v>655</v>
      </c>
      <c r="G14" s="351"/>
      <c r="H14" s="352"/>
      <c r="I14" s="353">
        <v>1633610.4583588364</v>
      </c>
      <c r="J14" s="354">
        <v>3033674.4897460993</v>
      </c>
      <c r="K14" s="355">
        <v>26862.133613943879</v>
      </c>
      <c r="L14" s="356">
        <v>533115.19613499637</v>
      </c>
      <c r="M14" s="357">
        <v>2506592.4607864125</v>
      </c>
      <c r="N14" s="358">
        <v>228713.71011062452</v>
      </c>
      <c r="O14" s="359">
        <v>602295.00746578013</v>
      </c>
      <c r="P14" s="360">
        <v>2506496.978579714</v>
      </c>
      <c r="Q14" s="350">
        <v>70430.23606461595</v>
      </c>
      <c r="R14" s="361">
        <v>681570.2945180895</v>
      </c>
      <c r="S14" s="362">
        <v>2468618.8513154732</v>
      </c>
      <c r="T14" s="363">
        <v>32724.668230692871</v>
      </c>
      <c r="U14" s="364">
        <v>716730.29776963708</v>
      </c>
      <c r="V14" s="365">
        <v>3469590.5875604148</v>
      </c>
      <c r="W14" s="366">
        <v>41423.767673545801</v>
      </c>
      <c r="X14" s="367">
        <v>1502369.8987746041</v>
      </c>
      <c r="Y14" s="368">
        <v>2542033.6326344707</v>
      </c>
      <c r="Z14" s="369">
        <v>410362.09038958565</v>
      </c>
      <c r="AA14" s="353">
        <v>673858.35721495992</v>
      </c>
      <c r="AB14" s="354">
        <v>2682838.316010816</v>
      </c>
      <c r="AC14" s="355">
        <v>26862.133613943879</v>
      </c>
      <c r="AD14" s="356">
        <v>743487.76578029746</v>
      </c>
      <c r="AE14" s="357">
        <v>2510683.3215618338</v>
      </c>
      <c r="AF14" s="358">
        <v>207247.81412929745</v>
      </c>
      <c r="AG14" s="359">
        <v>1344164.950236565</v>
      </c>
      <c r="AH14" s="360">
        <v>2711264.0886600008</v>
      </c>
      <c r="AI14" s="350">
        <v>334419.71889262175</v>
      </c>
      <c r="AJ14" s="361">
        <v>352517.74365421501</v>
      </c>
      <c r="AK14" s="362">
        <v>2384137.2504110774</v>
      </c>
      <c r="AL14" s="363">
        <v>26862.133613943879</v>
      </c>
      <c r="AM14" s="364">
        <v>269488.96862881276</v>
      </c>
      <c r="AN14" s="365">
        <v>2637041.0192736471</v>
      </c>
      <c r="AO14" s="366">
        <v>26862.133613943879</v>
      </c>
      <c r="AP14" s="367">
        <v>1033791.0614632061</v>
      </c>
      <c r="AQ14" s="368">
        <v>3049866.003460038</v>
      </c>
      <c r="AR14" s="369">
        <v>4389.4600532404847</v>
      </c>
      <c r="AS14" s="370"/>
      <c r="AT14" s="371">
        <f t="shared" si="1"/>
        <v>10087000</v>
      </c>
      <c r="AU14" s="372">
        <f t="shared" si="2"/>
        <v>32502837</v>
      </c>
      <c r="AV14" s="373">
        <f t="shared" si="3"/>
        <v>1437159.9999999998</v>
      </c>
    </row>
    <row r="15" spans="1:48" x14ac:dyDescent="0.25">
      <c r="A15" s="347">
        <f>IF(LEN(C15)&gt;0,VLOOKUP(C15,'1. Lists'!$E$3:$J$52,6,FALSE),"")</f>
        <v>9</v>
      </c>
      <c r="B15" s="319" t="s">
        <v>866</v>
      </c>
      <c r="C15" s="374" t="s">
        <v>368</v>
      </c>
      <c r="D15" s="349"/>
      <c r="E15" s="347">
        <f>IF(LEN(F15)&gt;0,VLOOKUP(F15,'1. Lists'!$T:$U,2,FALSE),"")</f>
        <v>87</v>
      </c>
      <c r="F15" s="350" t="s">
        <v>434</v>
      </c>
      <c r="G15" s="351"/>
      <c r="H15" s="352"/>
      <c r="I15" s="353">
        <v>1528179.6654182591</v>
      </c>
      <c r="J15" s="354">
        <v>2245895.5405924725</v>
      </c>
      <c r="K15" s="355">
        <v>15829.801358735345</v>
      </c>
      <c r="L15" s="356">
        <v>498708.73309505556</v>
      </c>
      <c r="M15" s="357">
        <v>1855685.1925910071</v>
      </c>
      <c r="N15" s="358">
        <v>134780.52976369689</v>
      </c>
      <c r="O15" s="359">
        <v>563423.78214009129</v>
      </c>
      <c r="P15" s="360">
        <v>1855614.5050261563</v>
      </c>
      <c r="Q15" s="350">
        <v>41504.396581996611</v>
      </c>
      <c r="R15" s="361">
        <v>637582.75989617256</v>
      </c>
      <c r="S15" s="362">
        <v>1827572.4994002092</v>
      </c>
      <c r="T15" s="363">
        <v>19284.581227512153</v>
      </c>
      <c r="U15" s="364">
        <v>670473.58875327604</v>
      </c>
      <c r="V15" s="365">
        <v>2568613.7568885069</v>
      </c>
      <c r="W15" s="366">
        <v>24410.943048181747</v>
      </c>
      <c r="X15" s="367">
        <v>1405409.1766468885</v>
      </c>
      <c r="Y15" s="368">
        <v>1881923.0668507426</v>
      </c>
      <c r="Z15" s="369">
        <v>241825.5552362584</v>
      </c>
      <c r="AA15" s="353">
        <v>630368.53957374452</v>
      </c>
      <c r="AB15" s="354">
        <v>1986163.8519311275</v>
      </c>
      <c r="AC15" s="355">
        <v>15829.801358735345</v>
      </c>
      <c r="AD15" s="356">
        <v>695504.1695155038</v>
      </c>
      <c r="AE15" s="357">
        <v>1858713.746248876</v>
      </c>
      <c r="AF15" s="358">
        <v>122130.7203980218</v>
      </c>
      <c r="AG15" s="359">
        <v>1257414.5405405201</v>
      </c>
      <c r="AH15" s="360">
        <v>2007208.0728079833</v>
      </c>
      <c r="AI15" s="350">
        <v>197072.86832071879</v>
      </c>
      <c r="AJ15" s="361">
        <v>329766.77199575421</v>
      </c>
      <c r="AK15" s="362">
        <v>1765028.9234909904</v>
      </c>
      <c r="AL15" s="363">
        <v>15829.801358735345</v>
      </c>
      <c r="AM15" s="364">
        <v>252096.55080613436</v>
      </c>
      <c r="AN15" s="365">
        <v>1952259.1120320864</v>
      </c>
      <c r="AO15" s="366">
        <v>15829.801358735345</v>
      </c>
      <c r="AP15" s="367">
        <v>967071.72161859949</v>
      </c>
      <c r="AQ15" s="368">
        <v>2257882.4721398382</v>
      </c>
      <c r="AR15" s="369">
        <v>2586.6999886722365</v>
      </c>
      <c r="AS15" s="370"/>
      <c r="AT15" s="371">
        <f t="shared" si="1"/>
        <v>9436000</v>
      </c>
      <c r="AU15" s="372">
        <f t="shared" si="2"/>
        <v>24062560.739999998</v>
      </c>
      <c r="AV15" s="373">
        <f t="shared" si="3"/>
        <v>846915.49999999988</v>
      </c>
    </row>
    <row r="16" spans="1:48" ht="45" x14ac:dyDescent="0.25">
      <c r="A16" s="347">
        <f>IF(LEN(C16)&gt;0,VLOOKUP(C16,'1. Lists'!$E$3:$J$52,6,FALSE),"")</f>
        <v>3</v>
      </c>
      <c r="B16" s="348" t="s">
        <v>362</v>
      </c>
      <c r="C16" s="374" t="s">
        <v>364</v>
      </c>
      <c r="D16" s="349"/>
      <c r="E16" s="347">
        <f>IF(LEN(F16)&gt;0,VLOOKUP(F16,'1. Lists'!$T:$U,2,FALSE),"")</f>
        <v>109</v>
      </c>
      <c r="F16" s="350" t="s">
        <v>442</v>
      </c>
      <c r="G16" s="351"/>
      <c r="H16" s="352"/>
      <c r="I16" s="353">
        <v>0</v>
      </c>
      <c r="J16" s="354">
        <v>293630.52119044459</v>
      </c>
      <c r="K16" s="355">
        <v>0</v>
      </c>
      <c r="L16" s="356">
        <v>0</v>
      </c>
      <c r="M16" s="357">
        <v>242614.04879148825</v>
      </c>
      <c r="N16" s="358">
        <v>0</v>
      </c>
      <c r="O16" s="359">
        <v>0</v>
      </c>
      <c r="P16" s="360">
        <v>242604.8070319613</v>
      </c>
      <c r="Q16" s="350">
        <v>0</v>
      </c>
      <c r="R16" s="361">
        <v>0</v>
      </c>
      <c r="S16" s="362">
        <v>238938.56851892694</v>
      </c>
      <c r="T16" s="363">
        <v>0</v>
      </c>
      <c r="U16" s="364">
        <v>0</v>
      </c>
      <c r="V16" s="365">
        <v>335823.00803409243</v>
      </c>
      <c r="W16" s="366">
        <v>0</v>
      </c>
      <c r="X16" s="367">
        <v>0</v>
      </c>
      <c r="Y16" s="368">
        <v>246044.41345207396</v>
      </c>
      <c r="Z16" s="369">
        <v>0</v>
      </c>
      <c r="AA16" s="353">
        <v>0</v>
      </c>
      <c r="AB16" s="354">
        <v>259672.95293631908</v>
      </c>
      <c r="AC16" s="355">
        <v>0</v>
      </c>
      <c r="AD16" s="356">
        <v>0</v>
      </c>
      <c r="AE16" s="357">
        <v>243010.00478006405</v>
      </c>
      <c r="AF16" s="358">
        <v>0</v>
      </c>
      <c r="AG16" s="359">
        <v>0</v>
      </c>
      <c r="AH16" s="360">
        <v>262424.29440898966</v>
      </c>
      <c r="AI16" s="350">
        <v>0</v>
      </c>
      <c r="AJ16" s="361">
        <v>0</v>
      </c>
      <c r="AK16" s="362">
        <v>230761.56185970656</v>
      </c>
      <c r="AL16" s="363">
        <v>0</v>
      </c>
      <c r="AM16" s="364">
        <v>0</v>
      </c>
      <c r="AN16" s="365">
        <v>255240.21496278199</v>
      </c>
      <c r="AO16" s="366">
        <v>0</v>
      </c>
      <c r="AP16" s="367">
        <v>0</v>
      </c>
      <c r="AQ16" s="368">
        <v>295197.70403315098</v>
      </c>
      <c r="AR16" s="369">
        <v>0</v>
      </c>
      <c r="AS16" s="370"/>
      <c r="AT16" s="371">
        <f t="shared" si="1"/>
        <v>0</v>
      </c>
      <c r="AU16" s="372">
        <f t="shared" si="2"/>
        <v>3145962.0999999996</v>
      </c>
      <c r="AV16" s="373">
        <f t="shared" si="3"/>
        <v>0</v>
      </c>
    </row>
    <row r="17" spans="1:48" ht="30" x14ac:dyDescent="0.25">
      <c r="A17" s="347">
        <f>IF(LEN(C17)&gt;0,VLOOKUP(C17,'1. Lists'!$E$3:$J$52,6,FALSE),"")</f>
        <v>3</v>
      </c>
      <c r="B17" s="348" t="s">
        <v>362</v>
      </c>
      <c r="C17" s="374" t="s">
        <v>364</v>
      </c>
      <c r="D17" s="349"/>
      <c r="E17" s="347">
        <f>IF(LEN(F17)&gt;0,VLOOKUP(F17,'1. Lists'!$T:$U,2,FALSE),"")</f>
        <v>112</v>
      </c>
      <c r="F17" s="350" t="s">
        <v>432</v>
      </c>
      <c r="G17" s="351"/>
      <c r="H17" s="352"/>
      <c r="I17" s="353">
        <v>5992.2263268838051</v>
      </c>
      <c r="J17" s="354">
        <v>320091.96386434947</v>
      </c>
      <c r="K17" s="355">
        <v>0</v>
      </c>
      <c r="L17" s="356">
        <v>1955.5132603345758</v>
      </c>
      <c r="M17" s="357">
        <v>264477.98077632458</v>
      </c>
      <c r="N17" s="358">
        <v>0</v>
      </c>
      <c r="O17" s="359">
        <v>2209.2708710452921</v>
      </c>
      <c r="P17" s="360">
        <v>264467.90616642177</v>
      </c>
      <c r="Q17" s="350">
        <v>0</v>
      </c>
      <c r="R17" s="361">
        <v>2500.0595714453566</v>
      </c>
      <c r="S17" s="362">
        <v>260471.2729796723</v>
      </c>
      <c r="T17" s="363">
        <v>0</v>
      </c>
      <c r="U17" s="364">
        <v>2629.0295447086914</v>
      </c>
      <c r="V17" s="365">
        <v>366086.76004340366</v>
      </c>
      <c r="W17" s="366">
        <v>0</v>
      </c>
      <c r="X17" s="367">
        <v>5510.8244527273073</v>
      </c>
      <c r="Y17" s="368">
        <v>268217.48359274189</v>
      </c>
      <c r="Z17" s="369">
        <v>0</v>
      </c>
      <c r="AA17" s="353">
        <v>2471.7715095621606</v>
      </c>
      <c r="AB17" s="354">
        <v>283074.20199663512</v>
      </c>
      <c r="AC17" s="355">
        <v>0</v>
      </c>
      <c r="AD17" s="356">
        <v>2727.1782823308222</v>
      </c>
      <c r="AE17" s="357">
        <v>264909.61959055014</v>
      </c>
      <c r="AF17" s="358">
        <v>0</v>
      </c>
      <c r="AG17" s="359">
        <v>4930.5148367951724</v>
      </c>
      <c r="AH17" s="360">
        <v>286073.48930395616</v>
      </c>
      <c r="AI17" s="350">
        <v>0</v>
      </c>
      <c r="AJ17" s="361">
        <v>1293.0659775162046</v>
      </c>
      <c r="AK17" s="362">
        <v>251557.369515311</v>
      </c>
      <c r="AL17" s="363">
        <v>0</v>
      </c>
      <c r="AM17" s="364">
        <v>988.50915428433348</v>
      </c>
      <c r="AN17" s="365">
        <v>278241.993827358</v>
      </c>
      <c r="AO17" s="366">
        <v>0</v>
      </c>
      <c r="AP17" s="367">
        <v>3792.0362123662758</v>
      </c>
      <c r="AQ17" s="368">
        <v>321800.37834327563</v>
      </c>
      <c r="AR17" s="369">
        <v>0</v>
      </c>
      <c r="AS17" s="370"/>
      <c r="AT17" s="371">
        <f t="shared" si="1"/>
        <v>37000</v>
      </c>
      <c r="AU17" s="372">
        <f t="shared" si="2"/>
        <v>3429470.4199999995</v>
      </c>
      <c r="AV17" s="373">
        <f t="shared" si="3"/>
        <v>0</v>
      </c>
    </row>
    <row r="18" spans="1:48" ht="45" x14ac:dyDescent="0.25">
      <c r="A18" s="347">
        <f>IF(LEN(C18)&gt;0,VLOOKUP(C18,'1. Lists'!$E$3:$J$52,6,FALSE),"")</f>
        <v>24</v>
      </c>
      <c r="B18" s="348" t="s">
        <v>361</v>
      </c>
      <c r="C18" s="374" t="s">
        <v>380</v>
      </c>
      <c r="D18" s="349"/>
      <c r="E18" s="347">
        <f>IF(LEN(F18)&gt;0,VLOOKUP(F18,'1. Lists'!$T:$U,2,FALSE),"")</f>
        <v>113</v>
      </c>
      <c r="F18" s="350" t="s">
        <v>870</v>
      </c>
      <c r="G18" s="351"/>
      <c r="H18" s="352"/>
      <c r="I18" s="353">
        <v>0</v>
      </c>
      <c r="J18" s="354">
        <v>249258.283896718</v>
      </c>
      <c r="K18" s="355">
        <v>0</v>
      </c>
      <c r="L18" s="356">
        <v>0</v>
      </c>
      <c r="M18" s="357">
        <v>205951.21108605285</v>
      </c>
      <c r="N18" s="358">
        <v>0</v>
      </c>
      <c r="O18" s="359">
        <v>0</v>
      </c>
      <c r="P18" s="360">
        <v>205943.3659032342</v>
      </c>
      <c r="Q18" s="350">
        <v>0</v>
      </c>
      <c r="R18" s="361">
        <v>0</v>
      </c>
      <c r="S18" s="362">
        <v>202831.15428296366</v>
      </c>
      <c r="T18" s="363">
        <v>0</v>
      </c>
      <c r="U18" s="364">
        <v>0</v>
      </c>
      <c r="V18" s="365">
        <v>285074.81557518558</v>
      </c>
      <c r="W18" s="366">
        <v>0</v>
      </c>
      <c r="X18" s="367">
        <v>0</v>
      </c>
      <c r="Y18" s="368">
        <v>208863.19314081676</v>
      </c>
      <c r="Z18" s="369">
        <v>0</v>
      </c>
      <c r="AA18" s="353">
        <v>0</v>
      </c>
      <c r="AB18" s="354">
        <v>220432.24376297035</v>
      </c>
      <c r="AC18" s="355">
        <v>0</v>
      </c>
      <c r="AD18" s="356">
        <v>0</v>
      </c>
      <c r="AE18" s="357">
        <v>206287.33183334745</v>
      </c>
      <c r="AF18" s="358">
        <v>0</v>
      </c>
      <c r="AG18" s="359">
        <v>0</v>
      </c>
      <c r="AH18" s="360">
        <v>222767.81382262005</v>
      </c>
      <c r="AI18" s="350">
        <v>0</v>
      </c>
      <c r="AJ18" s="361">
        <v>0</v>
      </c>
      <c r="AK18" s="362">
        <v>195889.82325570518</v>
      </c>
      <c r="AL18" s="363">
        <v>0</v>
      </c>
      <c r="AM18" s="364">
        <v>0</v>
      </c>
      <c r="AN18" s="365">
        <v>216669.36292971033</v>
      </c>
      <c r="AO18" s="366">
        <v>0</v>
      </c>
      <c r="AP18" s="367">
        <v>0</v>
      </c>
      <c r="AQ18" s="368">
        <v>250588.64051067506</v>
      </c>
      <c r="AR18" s="369">
        <v>0</v>
      </c>
      <c r="AS18" s="370"/>
      <c r="AT18" s="371">
        <f t="shared" si="1"/>
        <v>0</v>
      </c>
      <c r="AU18" s="372">
        <f t="shared" si="2"/>
        <v>2670557.2400000002</v>
      </c>
      <c r="AV18" s="373">
        <f t="shared" si="3"/>
        <v>0</v>
      </c>
    </row>
    <row r="19" spans="1:48" ht="30" x14ac:dyDescent="0.25">
      <c r="A19" s="347">
        <f>IF(LEN(C19)&gt;0,VLOOKUP(C19,'1. Lists'!$E$3:$J$52,6,FALSE),"")</f>
        <v>22</v>
      </c>
      <c r="B19" s="348" t="s">
        <v>361</v>
      </c>
      <c r="C19" s="374" t="s">
        <v>379</v>
      </c>
      <c r="D19" s="349"/>
      <c r="E19" s="347">
        <f>IF(LEN(F19)&gt;0,VLOOKUP(F19,'1. Lists'!$T:$U,2,FALSE),"")</f>
        <v>133</v>
      </c>
      <c r="F19" s="350" t="s">
        <v>871</v>
      </c>
      <c r="G19" s="351"/>
      <c r="H19" s="352"/>
      <c r="I19" s="353">
        <v>0</v>
      </c>
      <c r="J19" s="354">
        <v>0</v>
      </c>
      <c r="K19" s="355">
        <v>0</v>
      </c>
      <c r="L19" s="356">
        <v>0</v>
      </c>
      <c r="M19" s="357">
        <v>0</v>
      </c>
      <c r="N19" s="358">
        <v>0</v>
      </c>
      <c r="O19" s="359">
        <v>0</v>
      </c>
      <c r="P19" s="360">
        <v>0</v>
      </c>
      <c r="Q19" s="350">
        <v>0</v>
      </c>
      <c r="R19" s="361">
        <v>0</v>
      </c>
      <c r="S19" s="362">
        <v>0</v>
      </c>
      <c r="T19" s="363">
        <v>0</v>
      </c>
      <c r="U19" s="364">
        <v>0</v>
      </c>
      <c r="V19" s="365">
        <v>0</v>
      </c>
      <c r="W19" s="366">
        <v>0</v>
      </c>
      <c r="X19" s="367">
        <v>0</v>
      </c>
      <c r="Y19" s="368">
        <v>0</v>
      </c>
      <c r="Z19" s="369">
        <v>0</v>
      </c>
      <c r="AA19" s="353">
        <v>0</v>
      </c>
      <c r="AB19" s="354">
        <v>0</v>
      </c>
      <c r="AC19" s="355">
        <v>0</v>
      </c>
      <c r="AD19" s="356">
        <v>0</v>
      </c>
      <c r="AE19" s="357">
        <v>0</v>
      </c>
      <c r="AF19" s="358">
        <v>0</v>
      </c>
      <c r="AG19" s="359">
        <v>0</v>
      </c>
      <c r="AH19" s="360">
        <v>0</v>
      </c>
      <c r="AI19" s="350">
        <v>0</v>
      </c>
      <c r="AJ19" s="361">
        <v>0</v>
      </c>
      <c r="AK19" s="362">
        <v>0</v>
      </c>
      <c r="AL19" s="363">
        <v>0</v>
      </c>
      <c r="AM19" s="364">
        <v>0</v>
      </c>
      <c r="AN19" s="365">
        <v>0</v>
      </c>
      <c r="AO19" s="366">
        <v>0</v>
      </c>
      <c r="AP19" s="367">
        <v>0</v>
      </c>
      <c r="AQ19" s="368">
        <v>0</v>
      </c>
      <c r="AR19" s="369">
        <v>0</v>
      </c>
      <c r="AS19" s="370"/>
      <c r="AT19" s="371">
        <f t="shared" si="1"/>
        <v>0</v>
      </c>
      <c r="AU19" s="372">
        <f t="shared" si="2"/>
        <v>0</v>
      </c>
      <c r="AV19" s="373">
        <f t="shared" si="3"/>
        <v>0</v>
      </c>
    </row>
    <row r="20" spans="1:48" x14ac:dyDescent="0.25">
      <c r="A20" s="347">
        <f>IF(LEN(C20)&gt;0,VLOOKUP(C20,'1. Lists'!$E$3:$J$52,6,FALSE),"")</f>
        <v>23</v>
      </c>
      <c r="B20" s="348" t="s">
        <v>361</v>
      </c>
      <c r="C20" s="374" t="s">
        <v>312</v>
      </c>
      <c r="D20" s="349"/>
      <c r="E20" s="347">
        <f>IF(LEN(F20)&gt;0,VLOOKUP(F20,'1. Lists'!$T:$U,2,FALSE),"")</f>
        <v>135</v>
      </c>
      <c r="F20" s="350" t="s">
        <v>872</v>
      </c>
      <c r="G20" s="351"/>
      <c r="H20" s="352"/>
      <c r="I20" s="353">
        <v>20610795.921412006</v>
      </c>
      <c r="J20" s="354">
        <v>11640779.536278035</v>
      </c>
      <c r="K20" s="355">
        <v>0</v>
      </c>
      <c r="L20" s="356">
        <v>6726161.9524526531</v>
      </c>
      <c r="M20" s="357">
        <v>9618266.6670191623</v>
      </c>
      <c r="N20" s="358">
        <v>0</v>
      </c>
      <c r="O20" s="359">
        <v>7598983.8457778292</v>
      </c>
      <c r="P20" s="360">
        <v>9617900.28383548</v>
      </c>
      <c r="Q20" s="350">
        <v>0</v>
      </c>
      <c r="R20" s="361">
        <v>8599177.4688573387</v>
      </c>
      <c r="S20" s="362">
        <v>9472554.7860833425</v>
      </c>
      <c r="T20" s="363">
        <v>0</v>
      </c>
      <c r="U20" s="364">
        <v>9042781.173709875</v>
      </c>
      <c r="V20" s="365">
        <v>13313471.582877854</v>
      </c>
      <c r="W20" s="366">
        <v>0</v>
      </c>
      <c r="X20" s="367">
        <v>18954971.317473069</v>
      </c>
      <c r="Y20" s="368">
        <v>9754261.1085405145</v>
      </c>
      <c r="Z20" s="369">
        <v>0</v>
      </c>
      <c r="AA20" s="353">
        <v>8501878.1616080385</v>
      </c>
      <c r="AB20" s="354">
        <v>10294555.158676609</v>
      </c>
      <c r="AC20" s="355">
        <v>0</v>
      </c>
      <c r="AD20" s="356">
        <v>9380372.4946515113</v>
      </c>
      <c r="AE20" s="357">
        <v>9633964.0691502262</v>
      </c>
      <c r="AF20" s="358">
        <v>0</v>
      </c>
      <c r="AG20" s="359">
        <v>16958944.730234627</v>
      </c>
      <c r="AH20" s="360">
        <v>10403630.194141345</v>
      </c>
      <c r="AI20" s="350">
        <v>0</v>
      </c>
      <c r="AJ20" s="361">
        <v>4447615.5474867132</v>
      </c>
      <c r="AK20" s="362">
        <v>9148382.9956279304</v>
      </c>
      <c r="AL20" s="363">
        <v>0</v>
      </c>
      <c r="AM20" s="364">
        <v>3400065.24019216</v>
      </c>
      <c r="AN20" s="365">
        <v>10118822.318361396</v>
      </c>
      <c r="AO20" s="366">
        <v>0</v>
      </c>
      <c r="AP20" s="367">
        <v>13043046.146144172</v>
      </c>
      <c r="AQ20" s="368">
        <v>11702909.4194081</v>
      </c>
      <c r="AR20" s="369">
        <v>0</v>
      </c>
      <c r="AS20" s="370"/>
      <c r="AT20" s="371">
        <f t="shared" si="1"/>
        <v>127264793.99999999</v>
      </c>
      <c r="AU20" s="372">
        <f t="shared" si="2"/>
        <v>124719498.12</v>
      </c>
      <c r="AV20" s="373">
        <f t="shared" si="3"/>
        <v>0</v>
      </c>
    </row>
    <row r="21" spans="1:48" ht="30" x14ac:dyDescent="0.25">
      <c r="A21" s="347">
        <f>IF(LEN(C21)&gt;0,VLOOKUP(C21,'1. Lists'!$E$3:$J$52,6,FALSE),"")</f>
        <v>25</v>
      </c>
      <c r="B21" s="348" t="s">
        <v>361</v>
      </c>
      <c r="C21" s="374" t="s">
        <v>381</v>
      </c>
      <c r="D21" s="349"/>
      <c r="E21" s="347">
        <f>IF(LEN(F21)&gt;0,VLOOKUP(F21,'1. Lists'!$T:$U,2,FALSE),"")</f>
        <v>162</v>
      </c>
      <c r="F21" s="350" t="s">
        <v>710</v>
      </c>
      <c r="G21" s="351"/>
      <c r="H21" s="352"/>
      <c r="I21" s="353">
        <v>0</v>
      </c>
      <c r="J21" s="354">
        <v>5320087.2519194344</v>
      </c>
      <c r="K21" s="355">
        <v>0</v>
      </c>
      <c r="L21" s="356">
        <v>0</v>
      </c>
      <c r="M21" s="357">
        <v>4395755.2603157647</v>
      </c>
      <c r="N21" s="358">
        <v>0</v>
      </c>
      <c r="O21" s="359">
        <v>0</v>
      </c>
      <c r="P21" s="360">
        <v>4395587.8153006984</v>
      </c>
      <c r="Q21" s="350">
        <v>0</v>
      </c>
      <c r="R21" s="361">
        <v>0</v>
      </c>
      <c r="S21" s="362">
        <v>4329161.788821524</v>
      </c>
      <c r="T21" s="363">
        <v>0</v>
      </c>
      <c r="U21" s="364">
        <v>0</v>
      </c>
      <c r="V21" s="365">
        <v>6084543.5845705038</v>
      </c>
      <c r="W21" s="366">
        <v>0</v>
      </c>
      <c r="X21" s="367">
        <v>0</v>
      </c>
      <c r="Y21" s="368">
        <v>4457907.6524656955</v>
      </c>
      <c r="Z21" s="369">
        <v>0</v>
      </c>
      <c r="AA21" s="353">
        <v>0</v>
      </c>
      <c r="AB21" s="354">
        <v>4704833.6834466076</v>
      </c>
      <c r="AC21" s="355">
        <v>0</v>
      </c>
      <c r="AD21" s="356">
        <v>0</v>
      </c>
      <c r="AE21" s="357">
        <v>4402929.311564262</v>
      </c>
      <c r="AF21" s="358">
        <v>0</v>
      </c>
      <c r="AG21" s="359">
        <v>0</v>
      </c>
      <c r="AH21" s="360">
        <v>4754683.3265800551</v>
      </c>
      <c r="AI21" s="350">
        <v>0</v>
      </c>
      <c r="AJ21" s="361">
        <v>0</v>
      </c>
      <c r="AK21" s="362">
        <v>4181008.2906422131</v>
      </c>
      <c r="AL21" s="363">
        <v>0</v>
      </c>
      <c r="AM21" s="364">
        <v>0</v>
      </c>
      <c r="AN21" s="365">
        <v>4624519.9861902567</v>
      </c>
      <c r="AO21" s="366">
        <v>0</v>
      </c>
      <c r="AP21" s="367">
        <v>0</v>
      </c>
      <c r="AQ21" s="368">
        <v>5348481.9481829796</v>
      </c>
      <c r="AR21" s="369">
        <v>0</v>
      </c>
      <c r="AS21" s="370"/>
      <c r="AT21" s="371">
        <f t="shared" si="1"/>
        <v>0</v>
      </c>
      <c r="AU21" s="372">
        <f t="shared" si="2"/>
        <v>56999499.899999991</v>
      </c>
      <c r="AV21" s="373">
        <f t="shared" si="3"/>
        <v>0</v>
      </c>
    </row>
    <row r="22" spans="1:48" ht="30" x14ac:dyDescent="0.25">
      <c r="A22" s="347">
        <f>IF(LEN(C22)&gt;0,VLOOKUP(C22,'1. Lists'!$E$3:$J$52,6,FALSE),"")</f>
        <v>25</v>
      </c>
      <c r="B22" s="348" t="s">
        <v>361</v>
      </c>
      <c r="C22" s="374" t="s">
        <v>381</v>
      </c>
      <c r="D22" s="349"/>
      <c r="E22" s="347">
        <f>IF(LEN(F22)&gt;0,VLOOKUP(F22,'1. Lists'!$T:$U,2,FALSE),"")</f>
        <v>166</v>
      </c>
      <c r="F22" s="350" t="s">
        <v>462</v>
      </c>
      <c r="G22" s="351"/>
      <c r="H22" s="352"/>
      <c r="I22" s="353">
        <v>15922773.443820823</v>
      </c>
      <c r="J22" s="354">
        <v>2697718.5454551117</v>
      </c>
      <c r="K22" s="355">
        <v>0</v>
      </c>
      <c r="L22" s="356">
        <v>5196264.7790854443</v>
      </c>
      <c r="M22" s="357">
        <v>2229006.7672775979</v>
      </c>
      <c r="N22" s="358">
        <v>0</v>
      </c>
      <c r="O22" s="359">
        <v>5870559.2273549326</v>
      </c>
      <c r="P22" s="360">
        <v>2228921.8589854785</v>
      </c>
      <c r="Q22" s="350">
        <v>0</v>
      </c>
      <c r="R22" s="361">
        <v>6643254.106338447</v>
      </c>
      <c r="S22" s="362">
        <v>2195238.4408292994</v>
      </c>
      <c r="T22" s="363">
        <v>0</v>
      </c>
      <c r="U22" s="364">
        <v>6985958.061980864</v>
      </c>
      <c r="V22" s="365">
        <v>3085360.3129917886</v>
      </c>
      <c r="W22" s="366">
        <v>0</v>
      </c>
      <c r="X22" s="367">
        <v>14643573.934410622</v>
      </c>
      <c r="Y22" s="368">
        <v>2260523.1039479738</v>
      </c>
      <c r="Z22" s="369">
        <v>0</v>
      </c>
      <c r="AA22" s="353">
        <v>6568085.9841815615</v>
      </c>
      <c r="AB22" s="354">
        <v>2385734.7596200672</v>
      </c>
      <c r="AC22" s="355">
        <v>0</v>
      </c>
      <c r="AD22" s="356">
        <v>7246762.6490744436</v>
      </c>
      <c r="AE22" s="357">
        <v>2232644.5969188572</v>
      </c>
      <c r="AF22" s="358">
        <v>0</v>
      </c>
      <c r="AG22" s="359">
        <v>13101552.982981823</v>
      </c>
      <c r="AH22" s="360">
        <v>2411012.5981962867</v>
      </c>
      <c r="AI22" s="350">
        <v>0</v>
      </c>
      <c r="AJ22" s="361">
        <v>3435984.4713359536</v>
      </c>
      <c r="AK22" s="362">
        <v>2120112.5226466269</v>
      </c>
      <c r="AL22" s="363">
        <v>0</v>
      </c>
      <c r="AM22" s="364">
        <v>2626704.4087097575</v>
      </c>
      <c r="AN22" s="365">
        <v>2345009.1586509561</v>
      </c>
      <c r="AO22" s="366">
        <v>0</v>
      </c>
      <c r="AP22" s="367">
        <v>10076343.950725321</v>
      </c>
      <c r="AQ22" s="368">
        <v>2712116.9744799538</v>
      </c>
      <c r="AR22" s="369">
        <v>0</v>
      </c>
      <c r="AS22" s="370"/>
      <c r="AT22" s="371">
        <f t="shared" si="1"/>
        <v>98317817.999999985</v>
      </c>
      <c r="AU22" s="372">
        <f t="shared" si="2"/>
        <v>28903399.639999997</v>
      </c>
      <c r="AV22" s="373">
        <f t="shared" si="3"/>
        <v>0</v>
      </c>
    </row>
    <row r="23" spans="1:48" x14ac:dyDescent="0.25">
      <c r="A23" s="347">
        <f>IF(LEN(C23)&gt;0,VLOOKUP(C23,'1. Lists'!$E$3:$J$52,6,FALSE),"")</f>
        <v>4</v>
      </c>
      <c r="B23" s="348" t="s">
        <v>362</v>
      </c>
      <c r="C23" s="374" t="s">
        <v>291</v>
      </c>
      <c r="D23" s="349"/>
      <c r="E23" s="347">
        <f>IF(LEN(F23)&gt;0,VLOOKUP(F23,'1. Lists'!$T:$U,2,FALSE),"")</f>
        <v>101</v>
      </c>
      <c r="F23" s="350" t="s">
        <v>443</v>
      </c>
      <c r="G23" s="351"/>
      <c r="H23" s="352"/>
      <c r="I23" s="353">
        <v>0</v>
      </c>
      <c r="J23" s="354">
        <v>294459.21138523158</v>
      </c>
      <c r="K23" s="355">
        <v>0</v>
      </c>
      <c r="L23" s="356">
        <v>0</v>
      </c>
      <c r="M23" s="357">
        <v>243298.7592314519</v>
      </c>
      <c r="N23" s="358">
        <v>0</v>
      </c>
      <c r="O23" s="359">
        <v>0</v>
      </c>
      <c r="P23" s="360">
        <v>243289.49138963805</v>
      </c>
      <c r="Q23" s="350">
        <v>0</v>
      </c>
      <c r="R23" s="361">
        <v>0</v>
      </c>
      <c r="S23" s="362">
        <v>239612.90594163525</v>
      </c>
      <c r="T23" s="363">
        <v>0</v>
      </c>
      <c r="U23" s="364">
        <v>0</v>
      </c>
      <c r="V23" s="365">
        <v>336770.77474721696</v>
      </c>
      <c r="W23" s="366">
        <v>0</v>
      </c>
      <c r="X23" s="367">
        <v>0</v>
      </c>
      <c r="Y23" s="368">
        <v>246738.80513888912</v>
      </c>
      <c r="Z23" s="369">
        <v>0</v>
      </c>
      <c r="AA23" s="353">
        <v>0</v>
      </c>
      <c r="AB23" s="354">
        <v>260405.80737214981</v>
      </c>
      <c r="AC23" s="355">
        <v>0</v>
      </c>
      <c r="AD23" s="356">
        <v>0</v>
      </c>
      <c r="AE23" s="357">
        <v>243695.83269529551</v>
      </c>
      <c r="AF23" s="358">
        <v>0</v>
      </c>
      <c r="AG23" s="359">
        <v>0</v>
      </c>
      <c r="AH23" s="360">
        <v>263164.913738237</v>
      </c>
      <c r="AI23" s="350">
        <v>0</v>
      </c>
      <c r="AJ23" s="361">
        <v>0</v>
      </c>
      <c r="AK23" s="362">
        <v>231412.82196329377</v>
      </c>
      <c r="AL23" s="363">
        <v>0</v>
      </c>
      <c r="AM23" s="364">
        <v>0</v>
      </c>
      <c r="AN23" s="365">
        <v>255960.55923284439</v>
      </c>
      <c r="AO23" s="366">
        <v>0</v>
      </c>
      <c r="AP23" s="367">
        <v>0</v>
      </c>
      <c r="AQ23" s="368">
        <v>296030.81716411607</v>
      </c>
      <c r="AR23" s="369">
        <v>0</v>
      </c>
      <c r="AS23" s="370"/>
      <c r="AT23" s="371">
        <f t="shared" si="1"/>
        <v>0</v>
      </c>
      <c r="AU23" s="372">
        <f t="shared" si="2"/>
        <v>3154840.6999999993</v>
      </c>
      <c r="AV23" s="373">
        <f t="shared" si="3"/>
        <v>0</v>
      </c>
    </row>
    <row r="24" spans="1:48" s="382" customFormat="1" x14ac:dyDescent="0.25">
      <c r="A24" s="375"/>
      <c r="B24" s="376"/>
      <c r="C24" s="377"/>
      <c r="D24" s="378" t="s">
        <v>121</v>
      </c>
      <c r="E24" s="375"/>
      <c r="F24" s="377"/>
      <c r="G24" s="379"/>
      <c r="H24" s="378"/>
      <c r="I24" s="375">
        <f t="shared" ref="I24:AR24" si="4">SUM(I3:I23)</f>
        <v>57521900</v>
      </c>
      <c r="J24" s="376">
        <f t="shared" si="4"/>
        <v>31613283.981332861</v>
      </c>
      <c r="K24" s="377">
        <f t="shared" si="4"/>
        <v>59566</v>
      </c>
      <c r="L24" s="380">
        <f t="shared" si="4"/>
        <v>18771794</v>
      </c>
      <c r="M24" s="376">
        <f t="shared" si="4"/>
        <v>26120672.984576166</v>
      </c>
      <c r="N24" s="381">
        <f t="shared" si="4"/>
        <v>507165.99999999994</v>
      </c>
      <c r="O24" s="375">
        <f t="shared" si="4"/>
        <v>21207720</v>
      </c>
      <c r="P24" s="376">
        <f t="shared" si="4"/>
        <v>26119677.984576754</v>
      </c>
      <c r="Q24" s="377">
        <f t="shared" si="4"/>
        <v>156177</v>
      </c>
      <c r="R24" s="380">
        <f t="shared" si="4"/>
        <v>23999123</v>
      </c>
      <c r="S24" s="376">
        <f t="shared" si="4"/>
        <v>25724957.984809823</v>
      </c>
      <c r="T24" s="381">
        <f t="shared" si="4"/>
        <v>72566</v>
      </c>
      <c r="U24" s="375">
        <f t="shared" si="4"/>
        <v>25237160</v>
      </c>
      <c r="V24" s="376">
        <f t="shared" si="4"/>
        <v>36155873.97865054</v>
      </c>
      <c r="W24" s="377">
        <f t="shared" si="4"/>
        <v>91856</v>
      </c>
      <c r="X24" s="380">
        <f t="shared" si="4"/>
        <v>52900720.999999993</v>
      </c>
      <c r="Y24" s="376">
        <f t="shared" si="4"/>
        <v>26489997.984358083</v>
      </c>
      <c r="Z24" s="381">
        <f t="shared" si="4"/>
        <v>909966.00000000012</v>
      </c>
      <c r="AA24" s="375">
        <f t="shared" si="4"/>
        <v>23727574</v>
      </c>
      <c r="AB24" s="376">
        <f t="shared" si="4"/>
        <v>27957293.983491667</v>
      </c>
      <c r="AC24" s="377">
        <f t="shared" si="4"/>
        <v>59566</v>
      </c>
      <c r="AD24" s="380">
        <f t="shared" si="4"/>
        <v>26179331</v>
      </c>
      <c r="AE24" s="376">
        <f t="shared" si="4"/>
        <v>26163302.98455099</v>
      </c>
      <c r="AF24" s="381">
        <f t="shared" si="4"/>
        <v>459565.99999999994</v>
      </c>
      <c r="AG24" s="375">
        <f t="shared" si="4"/>
        <v>47330084.999999993</v>
      </c>
      <c r="AH24" s="376">
        <f t="shared" si="4"/>
        <v>28253512.983316753</v>
      </c>
      <c r="AI24" s="377">
        <f t="shared" si="4"/>
        <v>741566</v>
      </c>
      <c r="AJ24" s="380">
        <f t="shared" si="4"/>
        <v>12412683.999999998</v>
      </c>
      <c r="AK24" s="376">
        <f t="shared" si="4"/>
        <v>24844592.985329669</v>
      </c>
      <c r="AL24" s="381">
        <f t="shared" si="4"/>
        <v>59566</v>
      </c>
      <c r="AM24" s="375">
        <f t="shared" si="4"/>
        <v>9489114.9999999981</v>
      </c>
      <c r="AN24" s="376">
        <f t="shared" si="4"/>
        <v>27480049.983773474</v>
      </c>
      <c r="AO24" s="377">
        <f t="shared" si="4"/>
        <v>59566</v>
      </c>
      <c r="AP24" s="380">
        <f t="shared" si="4"/>
        <v>36401349.999999985</v>
      </c>
      <c r="AQ24" s="376">
        <f t="shared" si="4"/>
        <v>31782012.341233213</v>
      </c>
      <c r="AR24" s="381">
        <f t="shared" si="4"/>
        <v>9733.4999999999982</v>
      </c>
      <c r="AS24" s="379"/>
      <c r="AT24" s="375">
        <f>SUM(AT3:AT23)</f>
        <v>355178556.99999994</v>
      </c>
      <c r="AU24" s="376">
        <f>SUM(AU3:AU23)</f>
        <v>338705230.15999997</v>
      </c>
      <c r="AV24" s="377">
        <f>SUM(AV3:AV23)</f>
        <v>3186860.5</v>
      </c>
    </row>
  </sheetData>
  <customSheetViews>
    <customSheetView guid="{9B5DD690-7A96-4FFD-9A82-5184EBE7D9A3}" scale="60">
      <pane xSplit="4" ySplit="2" topLeftCell="E3" activePane="bottomRight" state="frozen"/>
      <selection pane="bottomRight" activeCell="C3" sqref="C3"/>
      <pageMargins left="0.7" right="0.7" top="0.75" bottom="0.75" header="0.3" footer="0.3"/>
    </customSheetView>
  </customSheetViews>
  <mergeCells count="15">
    <mergeCell ref="A1:C1"/>
    <mergeCell ref="E1:F1"/>
    <mergeCell ref="AT1:AV1"/>
    <mergeCell ref="AA1:AC1"/>
    <mergeCell ref="AD1:AF1"/>
    <mergeCell ref="AG1:AI1"/>
    <mergeCell ref="AJ1:AL1"/>
    <mergeCell ref="AM1:AO1"/>
    <mergeCell ref="AP1:AR1"/>
    <mergeCell ref="I1:K1"/>
    <mergeCell ref="L1:N1"/>
    <mergeCell ref="O1:Q1"/>
    <mergeCell ref="R1:T1"/>
    <mergeCell ref="U1:W1"/>
    <mergeCell ref="X1:Z1"/>
  </mergeCells>
  <conditionalFormatting sqref="E16:E23">
    <cfRule type="containsErrors" dxfId="27" priority="27">
      <formula>ISERROR(E16)</formula>
    </cfRule>
  </conditionalFormatting>
  <conditionalFormatting sqref="D16:D23">
    <cfRule type="expression" dxfId="26" priority="25">
      <formula>IF(LEN(D16)&gt;MID(D$2,1,FIND(" ",D$2)-1),TRUE,FALSE)</formula>
    </cfRule>
  </conditionalFormatting>
  <conditionalFormatting sqref="D4">
    <cfRule type="expression" dxfId="25" priority="22">
      <formula>IF(LEN(D4)&gt;(MID(D$2,1,3)*1),TRUE,FALSE)</formula>
    </cfRule>
  </conditionalFormatting>
  <conditionalFormatting sqref="G4">
    <cfRule type="expression" dxfId="24" priority="21">
      <formula>IF(LEN(G4)&gt;(MID(G$2,1,3)*1),TRUE,FALSE)</formula>
    </cfRule>
  </conditionalFormatting>
  <conditionalFormatting sqref="A6:B6 E5:E14 A5 A7 A10:A14 A8:B9">
    <cfRule type="containsErrors" dxfId="23" priority="20">
      <formula>ISERROR(A5)</formula>
    </cfRule>
  </conditionalFormatting>
  <conditionalFormatting sqref="D5:D14">
    <cfRule type="expression" dxfId="22" priority="19">
      <formula>IF(LEN(D5)&gt;MID(D$2,1,FIND(" ",D$2)-1),TRUE,FALSE)</formula>
    </cfRule>
  </conditionalFormatting>
  <conditionalFormatting sqref="D5:D14">
    <cfRule type="expression" dxfId="21" priority="18">
      <formula>IF(LEN(D5)&gt;(MID(D$2,1,3)*1),TRUE,FALSE)</formula>
    </cfRule>
  </conditionalFormatting>
  <conditionalFormatting sqref="G5:G14">
    <cfRule type="expression" dxfId="20" priority="17">
      <formula>IF(LEN(G5)&gt;(MID(G$2,1,3)*1),TRUE,FALSE)</formula>
    </cfRule>
  </conditionalFormatting>
  <conditionalFormatting sqref="E15 A15">
    <cfRule type="containsErrors" dxfId="19" priority="16">
      <formula>ISERROR(A15)</formula>
    </cfRule>
  </conditionalFormatting>
  <conditionalFormatting sqref="D15">
    <cfRule type="expression" dxfId="18" priority="15">
      <formula>IF(LEN(D15)&gt;MID(D$2,1,FIND(" ",D$2)-1),TRUE,FALSE)</formula>
    </cfRule>
  </conditionalFormatting>
  <conditionalFormatting sqref="D15">
    <cfRule type="expression" dxfId="17" priority="14">
      <formula>IF(LEN(D15)&gt;(MID(D$2,1,3)*1),TRUE,FALSE)</formula>
    </cfRule>
  </conditionalFormatting>
  <conditionalFormatting sqref="G15">
    <cfRule type="expression" dxfId="16" priority="13">
      <formula>IF(LEN(G15)&gt;(MID(G$2,1,3)*1),TRUE,FALSE)</formula>
    </cfRule>
  </conditionalFormatting>
  <conditionalFormatting sqref="B11">
    <cfRule type="containsErrors" dxfId="15" priority="8">
      <formula>ISERROR(B11)</formula>
    </cfRule>
  </conditionalFormatting>
  <conditionalFormatting sqref="B12">
    <cfRule type="containsErrors" dxfId="14" priority="4">
      <formula>ISERROR(B12)</formula>
    </cfRule>
  </conditionalFormatting>
  <conditionalFormatting sqref="A3:B3 E3 A16:A23">
    <cfRule type="containsErrors" dxfId="13" priority="34">
      <formula>ISERROR(A3)</formula>
    </cfRule>
  </conditionalFormatting>
  <conditionalFormatting sqref="D3 G16:G23 D16:D23">
    <cfRule type="expression" dxfId="12" priority="33">
      <formula>IF(LEN(D3)&gt;(MID(D$2,1,3)*1),TRUE,FALSE)</formula>
    </cfRule>
  </conditionalFormatting>
  <conditionalFormatting sqref="G3">
    <cfRule type="expression" dxfId="11" priority="29">
      <formula>IF(LEN(G3)&gt;(MID(G$2,1,3)*1),TRUE,FALSE)</formula>
    </cfRule>
  </conditionalFormatting>
  <conditionalFormatting sqref="E4 A4:B4">
    <cfRule type="containsErrors" dxfId="10" priority="24">
      <formula>ISERROR(A4)</formula>
    </cfRule>
  </conditionalFormatting>
  <conditionalFormatting sqref="D4">
    <cfRule type="expression" dxfId="9" priority="23">
      <formula>IF(LEN(D4)&gt;MID(D$2,1,FIND(" ",D$2)-1),TRUE,FALSE)</formula>
    </cfRule>
  </conditionalFormatting>
  <conditionalFormatting sqref="B5">
    <cfRule type="containsErrors" dxfId="8" priority="11">
      <formula>ISERROR(B5)</formula>
    </cfRule>
  </conditionalFormatting>
  <conditionalFormatting sqref="B7">
    <cfRule type="containsErrors" dxfId="7" priority="10">
      <formula>ISERROR(B7)</formula>
    </cfRule>
  </conditionalFormatting>
  <conditionalFormatting sqref="B10">
    <cfRule type="containsErrors" dxfId="6" priority="9">
      <formula>ISERROR(B10)</formula>
    </cfRule>
  </conditionalFormatting>
  <conditionalFormatting sqref="B16:B17">
    <cfRule type="containsErrors" dxfId="5" priority="7">
      <formula>ISERROR(B16)</formula>
    </cfRule>
  </conditionalFormatting>
  <conditionalFormatting sqref="B23">
    <cfRule type="containsErrors" dxfId="4" priority="6">
      <formula>ISERROR(B23)</formula>
    </cfRule>
  </conditionalFormatting>
  <conditionalFormatting sqref="B14:B15">
    <cfRule type="containsErrors" dxfId="3" priority="5">
      <formula>ISERROR(B14)</formula>
    </cfRule>
  </conditionalFormatting>
  <conditionalFormatting sqref="B13">
    <cfRule type="containsErrors" dxfId="2" priority="3">
      <formula>ISERROR(B13)</formula>
    </cfRule>
  </conditionalFormatting>
  <conditionalFormatting sqref="B19:B22">
    <cfRule type="containsErrors" dxfId="1" priority="2">
      <formula>ISERROR(B19)</formula>
    </cfRule>
  </conditionalFormatting>
  <conditionalFormatting sqref="B18">
    <cfRule type="containsErrors" dxfId="0" priority="1">
      <formula>ISERROR(B18)</formula>
    </cfRule>
  </conditionalFormatting>
  <dataValidations count="2">
    <dataValidation type="list" allowBlank="1" showInputMessage="1" showErrorMessage="1" sqref="C3:C23">
      <formula1>SubDir</formula1>
    </dataValidation>
    <dataValidation type="list" allowBlank="1" showInputMessage="1" showErrorMessage="1" sqref="F3:F23">
      <formula1>gfs</formula1>
    </dataValidation>
  </dataValidations>
  <pageMargins left="0.70866141732283505" right="0.70866141732283505" top="0.74803149606299202" bottom="0.74803149606299202" header="0.31496062992126" footer="0.31496062992126"/>
  <pageSetup paperSize="9" scale="55" fitToHeight="100" orientation="landscape" r:id="rId1"/>
  <headerFooter>
    <oddHeader>&amp;C&amp;"-,Bold"Monthly Cashflow for the 2018/19 financial year</oddHeader>
    <oddFooter>&amp;R&amp;"-,Bold"Page|&amp;P/&amp;N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119</vt:i4>
      </vt:variant>
    </vt:vector>
  </HeadingPairs>
  <TitlesOfParts>
    <vt:vector size="129" baseType="lpstr">
      <vt:lpstr>SETUP</vt:lpstr>
      <vt:lpstr>1. Lists</vt:lpstr>
      <vt:lpstr>2. Top Layer</vt:lpstr>
      <vt:lpstr>Office of the MM</vt:lpstr>
      <vt:lpstr>Admin &amp; Community</vt:lpstr>
      <vt:lpstr>Finance</vt:lpstr>
      <vt:lpstr>Technical</vt:lpstr>
      <vt:lpstr>3. Capital</vt:lpstr>
      <vt:lpstr>Monthly Cashflow</vt:lpstr>
      <vt:lpstr>RevBySource</vt:lpstr>
      <vt:lpstr>calctype</vt:lpstr>
      <vt:lpstr>cap_actualstart</vt:lpstr>
      <vt:lpstr>cap_area</vt:lpstr>
      <vt:lpstr>cap_cpref</vt:lpstr>
      <vt:lpstr>cap_description</vt:lpstr>
      <vt:lpstr>cap_endplan</vt:lpstr>
      <vt:lpstr>cap_fundsrc</vt:lpstr>
      <vt:lpstr>cap_gfsid</vt:lpstr>
      <vt:lpstr>cap_idp</vt:lpstr>
      <vt:lpstr>cap_startplan</vt:lpstr>
      <vt:lpstr>cap_subid</vt:lpstr>
      <vt:lpstr>cap_value</vt:lpstr>
      <vt:lpstr>cap_vote</vt:lpstr>
      <vt:lpstr>cap_ward</vt:lpstr>
      <vt:lpstr>capitalprojects</vt:lpstr>
      <vt:lpstr>concept</vt:lpstr>
      <vt:lpstr>deptobj</vt:lpstr>
      <vt:lpstr>Dir</vt:lpstr>
      <vt:lpstr>driver</vt:lpstr>
      <vt:lpstr>end_year</vt:lpstr>
      <vt:lpstr>function</vt:lpstr>
      <vt:lpstr>fundsrc</vt:lpstr>
      <vt:lpstr>gfs</vt:lpstr>
      <vt:lpstr>kpi</vt:lpstr>
      <vt:lpstr>kpi_annual</vt:lpstr>
      <vt:lpstr>kpi_area</vt:lpstr>
      <vt:lpstr>kpi_baseline</vt:lpstr>
      <vt:lpstr>kpi_calctype</vt:lpstr>
      <vt:lpstr>kpi_capitalid</vt:lpstr>
      <vt:lpstr>kpi_conceptid</vt:lpstr>
      <vt:lpstr>kpi_gfsid</vt:lpstr>
      <vt:lpstr>kpi_idpid</vt:lpstr>
      <vt:lpstr>kpi_idpref</vt:lpstr>
      <vt:lpstr>kpi_mtas</vt:lpstr>
      <vt:lpstr>kpi_munkpaid</vt:lpstr>
      <vt:lpstr>kpi_natkpaid</vt:lpstr>
      <vt:lpstr>kpi_natoutcomeid</vt:lpstr>
      <vt:lpstr>kpi_ndpid</vt:lpstr>
      <vt:lpstr>kpi_new1</vt:lpstr>
      <vt:lpstr>kpi_new2</vt:lpstr>
      <vt:lpstr>kpi_new3</vt:lpstr>
      <vt:lpstr>kpi_ownerid</vt:lpstr>
      <vt:lpstr>kpi_pdoid</vt:lpstr>
      <vt:lpstr>kpi_perfstd</vt:lpstr>
      <vt:lpstr>kpi_poe</vt:lpstr>
      <vt:lpstr>kpi_pyp</vt:lpstr>
      <vt:lpstr>kpi_repcate</vt:lpstr>
      <vt:lpstr>kpi_revised</vt:lpstr>
      <vt:lpstr>kpi_risk</vt:lpstr>
      <vt:lpstr>kpi_riskratingid</vt:lpstr>
      <vt:lpstr>kpi_riskref</vt:lpstr>
      <vt:lpstr>kpi_subid</vt:lpstr>
      <vt:lpstr>kpi_targettype</vt:lpstr>
      <vt:lpstr>kpi_topid</vt:lpstr>
      <vt:lpstr>kpi_typeid</vt:lpstr>
      <vt:lpstr>kpi_unit</vt:lpstr>
      <vt:lpstr>kpi_value</vt:lpstr>
      <vt:lpstr>kpi_wards</vt:lpstr>
      <vt:lpstr>ktype</vt:lpstr>
      <vt:lpstr>munkpa</vt:lpstr>
      <vt:lpstr>natkpa</vt:lpstr>
      <vt:lpstr>natout</vt:lpstr>
      <vt:lpstr>NDP_Objective</vt:lpstr>
      <vt:lpstr>PDO</vt:lpstr>
      <vt:lpstr>'3. Capital'!Print_Area</vt:lpstr>
      <vt:lpstr>'2. Top Layer'!Print_Titles</vt:lpstr>
      <vt:lpstr>'Admin &amp; Community'!Print_Titles</vt:lpstr>
      <vt:lpstr>Finance!Print_Titles</vt:lpstr>
      <vt:lpstr>'Monthly Cashflow'!Print_Titles</vt:lpstr>
      <vt:lpstr>'Office of the MM'!Print_Titles</vt:lpstr>
      <vt:lpstr>Technical!Print_Titles</vt:lpstr>
      <vt:lpstr>repcate</vt:lpstr>
      <vt:lpstr>riskrate</vt:lpstr>
      <vt:lpstr>start_year</vt:lpstr>
      <vt:lpstr>SubDir</vt:lpstr>
      <vt:lpstr>targettype</vt:lpstr>
      <vt:lpstr>tlobj</vt:lpstr>
      <vt:lpstr>top_annual</vt:lpstr>
      <vt:lpstr>top_area</vt:lpstr>
      <vt:lpstr>top_baseline</vt:lpstr>
      <vt:lpstr>top_calctype</vt:lpstr>
      <vt:lpstr>top_dirid</vt:lpstr>
      <vt:lpstr>top_gfsid</vt:lpstr>
      <vt:lpstr>top_idpid</vt:lpstr>
      <vt:lpstr>top_idpref</vt:lpstr>
      <vt:lpstr>top_mtas</vt:lpstr>
      <vt:lpstr>top_munkpa</vt:lpstr>
      <vt:lpstr>top_natkpaid</vt:lpstr>
      <vt:lpstr>top_natoutcomeid</vt:lpstr>
      <vt:lpstr>top_ndpid</vt:lpstr>
      <vt:lpstr>top_new1</vt:lpstr>
      <vt:lpstr>top_new2</vt:lpstr>
      <vt:lpstr>top_new3</vt:lpstr>
      <vt:lpstr>top_ownerid</vt:lpstr>
      <vt:lpstr>top_pdoid</vt:lpstr>
      <vt:lpstr>top_poe</vt:lpstr>
      <vt:lpstr>top_psoid</vt:lpstr>
      <vt:lpstr>top_pyp</vt:lpstr>
      <vt:lpstr>top_repcate</vt:lpstr>
      <vt:lpstr>top_repkpi</vt:lpstr>
      <vt:lpstr>top_revised</vt:lpstr>
      <vt:lpstr>top_risk</vt:lpstr>
      <vt:lpstr>top_targettype</vt:lpstr>
      <vt:lpstr>top_unit</vt:lpstr>
      <vt:lpstr>top_value</vt:lpstr>
      <vt:lpstr>top_ward</vt:lpstr>
      <vt:lpstr>toplayer</vt:lpstr>
      <vt:lpstr>tp_1</vt:lpstr>
      <vt:lpstr>tp_10</vt:lpstr>
      <vt:lpstr>tp_11</vt:lpstr>
      <vt:lpstr>tp_12</vt:lpstr>
      <vt:lpstr>tp_2</vt:lpstr>
      <vt:lpstr>tp_3</vt:lpstr>
      <vt:lpstr>tp_4</vt:lpstr>
      <vt:lpstr>tp_5</vt:lpstr>
      <vt:lpstr>tp_6</vt:lpstr>
      <vt:lpstr>tp_7</vt:lpstr>
      <vt:lpstr>tp_8</vt:lpstr>
      <vt:lpstr>tp_9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janet</dc:creator>
  <cp:lastModifiedBy>Almida Appollis</cp:lastModifiedBy>
  <cp:lastPrinted>2018-06-08T03:51:51Z</cp:lastPrinted>
  <dcterms:created xsi:type="dcterms:W3CDTF">2011-02-21T07:31:25Z</dcterms:created>
  <dcterms:modified xsi:type="dcterms:W3CDTF">2018-06-08T10:09:15Z</dcterms:modified>
</cp:coreProperties>
</file>